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X:\Contabilità\Budget\budget_2025\"/>
    </mc:Choice>
  </mc:AlternateContent>
  <xr:revisionPtr revIDLastSave="0" documentId="13_ncr:1_{AAB9231A-E976-4CA4-BFF9-8A687E513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2025" sheetId="5" r:id="rId1"/>
    <sheet name="SP 31.12.2024" sheetId="6" r:id="rId2"/>
    <sheet name="CE REV 1 - POST SEMESTRALE" sheetId="2" r:id="rId3"/>
    <sheet name="CE SEMESTRALE" sheetId="1" r:id="rId4"/>
    <sheet name="%Ricavi 2024_2023_2022" sheetId="3" r:id="rId5"/>
  </sheets>
  <definedNames>
    <definedName name="_xlnm._FilterDatabase" localSheetId="4" hidden="1">'%Ricavi 2024_2023_2022'!$A$3:$B$3</definedName>
    <definedName name="_xlnm._FilterDatabase" localSheetId="2" hidden="1">'CE REV 1 - POST SEMESTRALE'!$A$2:$AK$275</definedName>
    <definedName name="_xlnm.Print_Area" localSheetId="0">Budget2025!$A$1:$I$252</definedName>
    <definedName name="_xlnm.Print_Area" localSheetId="2">'CE REV 1 - POST SEMESTRALE'!$C$181:$P$187</definedName>
    <definedName name="_xlnm.Print_Area" localSheetId="3">'CE SEMESTRALE'!$A$1:$E$222</definedName>
    <definedName name="_xlnm.Print_Titles" localSheetId="2">'CE REV 1 - POST SEMESTRALE'!$1:$2</definedName>
    <definedName name="_xlnm.Print_Titles" localSheetId="3">'CE SEMESTRALE'!$1:$2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5" l="1"/>
  <c r="O14" i="5"/>
  <c r="E152" i="5"/>
  <c r="C30" i="6"/>
  <c r="H11" i="6"/>
  <c r="J226" i="5"/>
  <c r="H16" i="6" s="1"/>
  <c r="J225" i="5"/>
  <c r="G39" i="6"/>
  <c r="G41" i="6" s="1"/>
  <c r="B39" i="6"/>
  <c r="C16" i="6"/>
  <c r="H26" i="6"/>
  <c r="H25" i="6"/>
  <c r="H14" i="6"/>
  <c r="C21" i="6"/>
  <c r="C20" i="6"/>
  <c r="G25" i="6"/>
  <c r="G21" i="6"/>
  <c r="G11" i="6"/>
  <c r="B20" i="6"/>
  <c r="B21" i="6"/>
  <c r="B19" i="6"/>
  <c r="B12" i="6"/>
  <c r="B10" i="6"/>
  <c r="G237" i="5"/>
  <c r="G240" i="5"/>
  <c r="G242" i="5"/>
  <c r="J248" i="5"/>
  <c r="J233" i="5"/>
  <c r="J229" i="5"/>
  <c r="C12" i="6" s="1"/>
  <c r="J228" i="5"/>
  <c r="C10" i="6" s="1"/>
  <c r="H225" i="5"/>
  <c r="G218" i="5"/>
  <c r="G65" i="5"/>
  <c r="G250" i="5"/>
  <c r="G247" i="5"/>
  <c r="G246" i="5" s="1"/>
  <c r="G232" i="5"/>
  <c r="G227" i="5"/>
  <c r="G225" i="5"/>
  <c r="G224" i="5" s="1"/>
  <c r="G220" i="5"/>
  <c r="G217" i="5"/>
  <c r="G216" i="5"/>
  <c r="G215" i="5"/>
  <c r="G212" i="5"/>
  <c r="G210" i="5"/>
  <c r="G209" i="5"/>
  <c r="G207" i="5"/>
  <c r="G205" i="5"/>
  <c r="G204" i="5"/>
  <c r="G196" i="5"/>
  <c r="G194" i="5" s="1"/>
  <c r="G186" i="5"/>
  <c r="G183" i="5"/>
  <c r="G179" i="5"/>
  <c r="G178" i="5"/>
  <c r="G177" i="5" s="1"/>
  <c r="G175" i="5"/>
  <c r="G174" i="5" s="1"/>
  <c r="G172" i="5"/>
  <c r="G171" i="5" s="1"/>
  <c r="G168" i="5"/>
  <c r="G166" i="5"/>
  <c r="G165" i="5"/>
  <c r="G161" i="5"/>
  <c r="G158" i="5"/>
  <c r="G156" i="5"/>
  <c r="G154" i="5"/>
  <c r="G153" i="5" s="1"/>
  <c r="G151" i="5"/>
  <c r="G148" i="5"/>
  <c r="G146" i="5" s="1"/>
  <c r="G144" i="5"/>
  <c r="G142" i="5"/>
  <c r="G137" i="5"/>
  <c r="G134" i="5"/>
  <c r="G132" i="5"/>
  <c r="G130" i="5"/>
  <c r="G126" i="5"/>
  <c r="G125" i="5"/>
  <c r="G120" i="5"/>
  <c r="G118" i="5"/>
  <c r="G117" i="5"/>
  <c r="G115" i="5"/>
  <c r="G113" i="5"/>
  <c r="G112" i="5"/>
  <c r="G107" i="5"/>
  <c r="G101" i="5"/>
  <c r="G91" i="5"/>
  <c r="G86" i="5"/>
  <c r="G85" i="5"/>
  <c r="G84" i="5"/>
  <c r="G83" i="5"/>
  <c r="G79" i="5"/>
  <c r="G63" i="5"/>
  <c r="G53" i="5"/>
  <c r="G52" i="5"/>
  <c r="G51" i="5"/>
  <c r="G50" i="5"/>
  <c r="G45" i="5"/>
  <c r="G44" i="5"/>
  <c r="G43" i="5" s="1"/>
  <c r="G39" i="5"/>
  <c r="G38" i="5" s="1"/>
  <c r="G36" i="5"/>
  <c r="G35" i="5" s="1"/>
  <c r="G29" i="5"/>
  <c r="G20" i="5" s="1"/>
  <c r="G19" i="5"/>
  <c r="G18" i="5" s="1"/>
  <c r="G13" i="5"/>
  <c r="G11" i="5"/>
  <c r="G9" i="5"/>
  <c r="G8" i="5" s="1"/>
  <c r="G116" i="5" l="1"/>
  <c r="G182" i="5"/>
  <c r="G10" i="5"/>
  <c r="G7" i="5" s="1"/>
  <c r="G90" i="5"/>
  <c r="G155" i="5"/>
  <c r="G82" i="5"/>
  <c r="G110" i="5"/>
  <c r="G160" i="5"/>
  <c r="G49" i="5"/>
  <c r="G143" i="5"/>
  <c r="G203" i="5"/>
  <c r="G202" i="5" s="1"/>
  <c r="G124" i="5"/>
  <c r="G6" i="5" l="1"/>
  <c r="G5" i="5" s="1"/>
  <c r="G109" i="5"/>
  <c r="G108" i="5" s="1"/>
  <c r="G106" i="5" l="1"/>
  <c r="G105" i="5" s="1"/>
  <c r="G245" i="5" s="1"/>
  <c r="G249" i="5" s="1"/>
  <c r="G252" i="5" s="1"/>
  <c r="G254" i="5" s="1"/>
  <c r="F24" i="5" l="1"/>
  <c r="F29" i="5"/>
  <c r="F30" i="5"/>
  <c r="F31" i="5"/>
  <c r="F32" i="5"/>
  <c r="F34" i="5"/>
  <c r="F37" i="5"/>
  <c r="F35" i="5" s="1"/>
  <c r="F39" i="5"/>
  <c r="F42" i="5"/>
  <c r="F43" i="5"/>
  <c r="F47" i="5"/>
  <c r="F48" i="5"/>
  <c r="F52" i="5"/>
  <c r="F49" i="5" s="1"/>
  <c r="F59" i="5"/>
  <c r="F53" i="5" s="1"/>
  <c r="F63" i="5"/>
  <c r="F69" i="5"/>
  <c r="F73" i="5"/>
  <c r="F74" i="5"/>
  <c r="F77" i="5"/>
  <c r="F80" i="5"/>
  <c r="F79" i="5" s="1"/>
  <c r="F84" i="5"/>
  <c r="F82" i="5" s="1"/>
  <c r="F95" i="5"/>
  <c r="F91" i="5" s="1"/>
  <c r="F101" i="5"/>
  <c r="F107" i="5"/>
  <c r="F111" i="5"/>
  <c r="F110" i="5" s="1"/>
  <c r="F116" i="5"/>
  <c r="F120" i="5"/>
  <c r="F124" i="5"/>
  <c r="F132" i="5"/>
  <c r="F134" i="5"/>
  <c r="F137" i="5"/>
  <c r="F145" i="5"/>
  <c r="F144" i="5" s="1"/>
  <c r="F146" i="5"/>
  <c r="F153" i="5"/>
  <c r="F156" i="5"/>
  <c r="F155" i="5" s="1"/>
  <c r="F160" i="5"/>
  <c r="F166" i="5"/>
  <c r="F168" i="5"/>
  <c r="F172" i="5"/>
  <c r="F171" i="5" s="1"/>
  <c r="F174" i="5"/>
  <c r="F177" i="5"/>
  <c r="F179" i="5"/>
  <c r="F188" i="5"/>
  <c r="F182" i="5" s="1"/>
  <c r="F194" i="5"/>
  <c r="F215" i="5"/>
  <c r="F218" i="5"/>
  <c r="F220" i="5"/>
  <c r="F224" i="5"/>
  <c r="F227" i="5"/>
  <c r="F232" i="5"/>
  <c r="F237" i="5"/>
  <c r="F247" i="5"/>
  <c r="F246" i="5" s="1"/>
  <c r="F11" i="5"/>
  <c r="F14" i="5"/>
  <c r="F15" i="5"/>
  <c r="F16" i="5"/>
  <c r="F17" i="5"/>
  <c r="F19" i="5"/>
  <c r="F18" i="5" s="1"/>
  <c r="F8" i="5"/>
  <c r="F203" i="5" l="1"/>
  <c r="F202" i="5" s="1"/>
  <c r="F65" i="5"/>
  <c r="F152" i="5"/>
  <c r="F151" i="5" s="1"/>
  <c r="F143" i="5" s="1"/>
  <c r="F90" i="5"/>
  <c r="F109" i="5"/>
  <c r="F38" i="5"/>
  <c r="F45" i="5"/>
  <c r="F20" i="5"/>
  <c r="F13" i="5"/>
  <c r="F10" i="5" s="1"/>
  <c r="F108" i="5" l="1"/>
  <c r="F106" i="5" s="1"/>
  <c r="F105" i="5" s="1"/>
  <c r="F7" i="5"/>
  <c r="F6" i="5" s="1"/>
  <c r="F5" i="5" s="1"/>
  <c r="F245" i="5" l="1"/>
  <c r="F249" i="5" s="1"/>
  <c r="F251" i="5" s="1"/>
  <c r="F250" i="5" s="1"/>
  <c r="F252" i="5" s="1"/>
  <c r="H7" i="6"/>
  <c r="G7" i="6"/>
  <c r="I9" i="5"/>
  <c r="I12" i="5"/>
  <c r="I21" i="5"/>
  <c r="I22" i="5"/>
  <c r="I23" i="5"/>
  <c r="I25" i="5"/>
  <c r="I26" i="5"/>
  <c r="I27" i="5"/>
  <c r="I33" i="5"/>
  <c r="I36" i="5"/>
  <c r="I41" i="5"/>
  <c r="I44" i="5"/>
  <c r="I46" i="5"/>
  <c r="I50" i="5"/>
  <c r="I51" i="5"/>
  <c r="I54" i="5"/>
  <c r="I55" i="5"/>
  <c r="I56" i="5"/>
  <c r="I57" i="5"/>
  <c r="I58" i="5"/>
  <c r="I60" i="5"/>
  <c r="I61" i="5"/>
  <c r="I62" i="5"/>
  <c r="I64" i="5"/>
  <c r="I66" i="5"/>
  <c r="I67" i="5"/>
  <c r="I68" i="5"/>
  <c r="I70" i="5"/>
  <c r="I71" i="5"/>
  <c r="I72" i="5"/>
  <c r="I75" i="5"/>
  <c r="I76" i="5"/>
  <c r="I78" i="5"/>
  <c r="I81" i="5"/>
  <c r="I83" i="5"/>
  <c r="I86" i="5"/>
  <c r="I87" i="5"/>
  <c r="I88" i="5"/>
  <c r="I89" i="5"/>
  <c r="I92" i="5"/>
  <c r="I93" i="5"/>
  <c r="I94" i="5"/>
  <c r="I96" i="5"/>
  <c r="I97" i="5"/>
  <c r="I98" i="5"/>
  <c r="I99" i="5"/>
  <c r="I100" i="5"/>
  <c r="I102" i="5"/>
  <c r="I103" i="5"/>
  <c r="I104" i="5"/>
  <c r="I112" i="5"/>
  <c r="I114" i="5"/>
  <c r="I122" i="5"/>
  <c r="I126" i="5"/>
  <c r="I136" i="5"/>
  <c r="I138" i="5"/>
  <c r="I139" i="5"/>
  <c r="I140" i="5"/>
  <c r="I141" i="5"/>
  <c r="I149" i="5"/>
  <c r="I150" i="5"/>
  <c r="I154" i="5"/>
  <c r="I157" i="5"/>
  <c r="I162" i="5"/>
  <c r="I163" i="5"/>
  <c r="I164" i="5"/>
  <c r="I167" i="5"/>
  <c r="I170" i="5"/>
  <c r="I173" i="5"/>
  <c r="I180" i="5"/>
  <c r="I181" i="5"/>
  <c r="I184" i="5"/>
  <c r="I185" i="5"/>
  <c r="I189" i="5"/>
  <c r="I190" i="5"/>
  <c r="I191" i="5"/>
  <c r="I192" i="5"/>
  <c r="I193" i="5"/>
  <c r="I196" i="5"/>
  <c r="I198" i="5"/>
  <c r="I199" i="5"/>
  <c r="I200" i="5"/>
  <c r="I201" i="5"/>
  <c r="I204" i="5"/>
  <c r="I205" i="5"/>
  <c r="I206" i="5"/>
  <c r="I207" i="5"/>
  <c r="I208" i="5"/>
  <c r="I209" i="5"/>
  <c r="I210" i="5"/>
  <c r="I211" i="5"/>
  <c r="I213" i="5"/>
  <c r="I214" i="5"/>
  <c r="I216" i="5"/>
  <c r="I217" i="5"/>
  <c r="I219" i="5"/>
  <c r="I221" i="5"/>
  <c r="I222" i="5"/>
  <c r="I223" i="5"/>
  <c r="I225" i="5"/>
  <c r="I226" i="5"/>
  <c r="I228" i="5"/>
  <c r="I229" i="5"/>
  <c r="I230" i="5"/>
  <c r="I231" i="5"/>
  <c r="I233" i="5"/>
  <c r="I234" i="5"/>
  <c r="I235" i="5"/>
  <c r="I236" i="5"/>
  <c r="I238" i="5"/>
  <c r="I239" i="5"/>
  <c r="I240" i="5"/>
  <c r="I241" i="5"/>
  <c r="I242" i="5"/>
  <c r="I243" i="5"/>
  <c r="I244" i="5"/>
  <c r="I248" i="5"/>
  <c r="E188" i="5"/>
  <c r="I188" i="5" s="1"/>
  <c r="H212" i="5"/>
  <c r="I212" i="5" s="1"/>
  <c r="I85" i="5"/>
  <c r="E107" i="5" l="1"/>
  <c r="E74" i="5"/>
  <c r="I74" i="5" s="1"/>
  <c r="E29" i="5"/>
  <c r="I29" i="5" s="1"/>
  <c r="H59" i="5"/>
  <c r="E59" i="5"/>
  <c r="N225" i="5"/>
  <c r="H158" i="5"/>
  <c r="I158" i="5" s="1"/>
  <c r="H215" i="5"/>
  <c r="E215" i="5"/>
  <c r="L215" i="5"/>
  <c r="I59" i="5" l="1"/>
  <c r="I215" i="5"/>
  <c r="H197" i="5"/>
  <c r="I197" i="5" s="1"/>
  <c r="H195" i="5"/>
  <c r="H187" i="5"/>
  <c r="I187" i="5" s="1"/>
  <c r="H186" i="5"/>
  <c r="I186" i="5" s="1"/>
  <c r="H183" i="5"/>
  <c r="I183" i="5" s="1"/>
  <c r="H178" i="5"/>
  <c r="H176" i="5"/>
  <c r="H175" i="5"/>
  <c r="I175" i="5" s="1"/>
  <c r="H172" i="5"/>
  <c r="H171" i="5" s="1"/>
  <c r="H169" i="5"/>
  <c r="H165" i="5"/>
  <c r="I165" i="5" s="1"/>
  <c r="H161" i="5"/>
  <c r="I161" i="5" s="1"/>
  <c r="H159" i="5"/>
  <c r="I159" i="5" s="1"/>
  <c r="H156" i="5"/>
  <c r="H155" i="5" s="1"/>
  <c r="H152" i="5"/>
  <c r="H151" i="5" s="1"/>
  <c r="H148" i="5"/>
  <c r="I148" i="5" s="1"/>
  <c r="I147" i="5"/>
  <c r="H142" i="5"/>
  <c r="H135" i="5"/>
  <c r="H133" i="5"/>
  <c r="H131" i="5"/>
  <c r="I131" i="5" s="1"/>
  <c r="H130" i="5"/>
  <c r="I130" i="5" s="1"/>
  <c r="H129" i="5"/>
  <c r="I129" i="5" s="1"/>
  <c r="H128" i="5"/>
  <c r="I128" i="5" s="1"/>
  <c r="H127" i="5"/>
  <c r="I127" i="5" s="1"/>
  <c r="H125" i="5"/>
  <c r="I125" i="5" s="1"/>
  <c r="H123" i="5"/>
  <c r="I123" i="5" s="1"/>
  <c r="H121" i="5"/>
  <c r="I121" i="5" s="1"/>
  <c r="I119" i="5"/>
  <c r="H118" i="5"/>
  <c r="I118" i="5" s="1"/>
  <c r="H117" i="5"/>
  <c r="I115" i="5"/>
  <c r="H113" i="5"/>
  <c r="I113" i="5" s="1"/>
  <c r="H111" i="5"/>
  <c r="H107" i="5"/>
  <c r="I107" i="5" s="1"/>
  <c r="H17" i="5"/>
  <c r="H11" i="5"/>
  <c r="H19" i="5"/>
  <c r="H18" i="5" s="1"/>
  <c r="H34" i="5"/>
  <c r="H32" i="5"/>
  <c r="H31" i="5"/>
  <c r="H30" i="5"/>
  <c r="H28" i="5"/>
  <c r="I28" i="5" s="1"/>
  <c r="H42" i="5"/>
  <c r="H40" i="5"/>
  <c r="I40" i="5" s="1"/>
  <c r="H73" i="5"/>
  <c r="H65" i="5" s="1"/>
  <c r="H95" i="5"/>
  <c r="H91" i="5" s="1"/>
  <c r="H247" i="5"/>
  <c r="H246" i="5" s="1"/>
  <c r="H237" i="5"/>
  <c r="J237" i="5" s="1"/>
  <c r="H32" i="6" s="1"/>
  <c r="H232" i="5"/>
  <c r="H227" i="5"/>
  <c r="H224" i="5"/>
  <c r="H220" i="5"/>
  <c r="H203" i="5"/>
  <c r="H179" i="5"/>
  <c r="H166" i="5"/>
  <c r="H153" i="5"/>
  <c r="H144" i="5"/>
  <c r="H101" i="5"/>
  <c r="H82" i="5"/>
  <c r="H79" i="5"/>
  <c r="H63" i="5"/>
  <c r="H53" i="5"/>
  <c r="H49" i="5"/>
  <c r="H43" i="5"/>
  <c r="H35" i="5"/>
  <c r="H8" i="5"/>
  <c r="O13" i="5" l="1"/>
  <c r="P13" i="5" s="1"/>
  <c r="H132" i="5"/>
  <c r="I133" i="5"/>
  <c r="H116" i="5"/>
  <c r="I117" i="5"/>
  <c r="H134" i="5"/>
  <c r="I135" i="5"/>
  <c r="H174" i="5"/>
  <c r="I176" i="5"/>
  <c r="H110" i="5"/>
  <c r="H137" i="5"/>
  <c r="I142" i="5"/>
  <c r="H47" i="5"/>
  <c r="H45" i="5" s="1"/>
  <c r="I169" i="5"/>
  <c r="H15" i="5"/>
  <c r="H13" i="5" s="1"/>
  <c r="H10" i="5" s="1"/>
  <c r="H177" i="5"/>
  <c r="I178" i="5"/>
  <c r="H194" i="5"/>
  <c r="I195" i="5"/>
  <c r="H146" i="5"/>
  <c r="H143" i="5" s="1"/>
  <c r="H160" i="5"/>
  <c r="H182" i="5"/>
  <c r="H20" i="5"/>
  <c r="H120" i="5"/>
  <c r="H124" i="5"/>
  <c r="H38" i="5"/>
  <c r="H168" i="5"/>
  <c r="H202" i="5"/>
  <c r="J202" i="5" s="1"/>
  <c r="H90" i="5"/>
  <c r="J90" i="5" s="1"/>
  <c r="C32" i="6" s="1"/>
  <c r="H109" i="5" l="1"/>
  <c r="H108" i="5" s="1"/>
  <c r="H106" i="5" s="1"/>
  <c r="H7" i="5"/>
  <c r="H6" i="5" s="1"/>
  <c r="H5" i="5" l="1"/>
  <c r="J6" i="5"/>
  <c r="C19" i="6" s="1"/>
  <c r="C39" i="6" s="1"/>
  <c r="D39" i="6" s="1"/>
  <c r="H105" i="5"/>
  <c r="J106" i="5"/>
  <c r="H21" i="6" s="1"/>
  <c r="R123" i="2"/>
  <c r="E48" i="5"/>
  <c r="I48" i="5" s="1"/>
  <c r="E47" i="5"/>
  <c r="I47" i="5" s="1"/>
  <c r="E172" i="5"/>
  <c r="I172" i="5" s="1"/>
  <c r="R139" i="2"/>
  <c r="H245" i="5" l="1"/>
  <c r="H249" i="5" s="1"/>
  <c r="H251" i="5" s="1"/>
  <c r="H250" i="5" s="1"/>
  <c r="H252" i="5" s="1"/>
  <c r="H12" i="6" s="1"/>
  <c r="E111" i="5"/>
  <c r="K239" i="5"/>
  <c r="J251" i="5" l="1"/>
  <c r="H22" i="6" s="1"/>
  <c r="H39" i="6" s="1"/>
  <c r="I111" i="5"/>
  <c r="E110" i="5"/>
  <c r="E156" i="5"/>
  <c r="I156" i="5" s="1"/>
  <c r="H41" i="6" l="1"/>
  <c r="I39" i="6"/>
  <c r="E95" i="5"/>
  <c r="E37" i="5"/>
  <c r="I37" i="5" s="1"/>
  <c r="E91" i="5" l="1"/>
  <c r="I91" i="5" s="1"/>
  <c r="I95" i="5"/>
  <c r="L207" i="5"/>
  <c r="N223" i="5" l="1"/>
  <c r="E218" i="5" s="1"/>
  <c r="I218" i="5" s="1"/>
  <c r="L219" i="5"/>
  <c r="R220" i="2"/>
  <c r="R203" i="2"/>
  <c r="R191" i="2"/>
  <c r="R177" i="2"/>
  <c r="R161" i="2"/>
  <c r="R153" i="2"/>
  <c r="R130" i="2"/>
  <c r="R127" i="2"/>
  <c r="R240" i="2"/>
  <c r="I152" i="5" l="1"/>
  <c r="I19" i="5"/>
  <c r="E73" i="5" l="1"/>
  <c r="I73" i="5" s="1"/>
  <c r="E145" i="5"/>
  <c r="I145" i="5" s="1"/>
  <c r="E14" i="5"/>
  <c r="I14" i="5" s="1"/>
  <c r="E15" i="5"/>
  <c r="I15" i="5" s="1"/>
  <c r="E146" i="5"/>
  <c r="I146" i="5" s="1"/>
  <c r="E16" i="5" l="1"/>
  <c r="I16" i="5" s="1"/>
  <c r="E17" i="5"/>
  <c r="I17" i="5" s="1"/>
  <c r="E30" i="5"/>
  <c r="I30" i="5" s="1"/>
  <c r="R172" i="2"/>
  <c r="E166" i="5"/>
  <c r="I166" i="5" s="1"/>
  <c r="E247" i="5"/>
  <c r="E237" i="5"/>
  <c r="I237" i="5" s="1"/>
  <c r="E232" i="5"/>
  <c r="I232" i="5" s="1"/>
  <c r="E227" i="5"/>
  <c r="I227" i="5" s="1"/>
  <c r="E224" i="5"/>
  <c r="I224" i="5" s="1"/>
  <c r="E220" i="5"/>
  <c r="I220" i="5" s="1"/>
  <c r="E203" i="5"/>
  <c r="I203" i="5" s="1"/>
  <c r="E194" i="5"/>
  <c r="I194" i="5" s="1"/>
  <c r="E182" i="5"/>
  <c r="I182" i="5" s="1"/>
  <c r="E179" i="5"/>
  <c r="I179" i="5" s="1"/>
  <c r="E177" i="5"/>
  <c r="I177" i="5" s="1"/>
  <c r="E174" i="5"/>
  <c r="I174" i="5" s="1"/>
  <c r="E171" i="5"/>
  <c r="I171" i="5" s="1"/>
  <c r="E168" i="5"/>
  <c r="I168" i="5" s="1"/>
  <c r="E153" i="5"/>
  <c r="I153" i="5" s="1"/>
  <c r="E151" i="5"/>
  <c r="I151" i="5" s="1"/>
  <c r="E144" i="5"/>
  <c r="I144" i="5" s="1"/>
  <c r="E137" i="5"/>
  <c r="I137" i="5" s="1"/>
  <c r="E134" i="5"/>
  <c r="I134" i="5" s="1"/>
  <c r="E132" i="5"/>
  <c r="I132" i="5" s="1"/>
  <c r="I110" i="5"/>
  <c r="E116" i="5"/>
  <c r="I116" i="5" s="1"/>
  <c r="E120" i="5"/>
  <c r="I120" i="5" s="1"/>
  <c r="E124" i="5"/>
  <c r="I124" i="5" s="1"/>
  <c r="E246" i="5" l="1"/>
  <c r="I246" i="5" s="1"/>
  <c r="I247" i="5"/>
  <c r="E109" i="5"/>
  <c r="I109" i="5" s="1"/>
  <c r="E202" i="5"/>
  <c r="I202" i="5" s="1"/>
  <c r="E42" i="5" l="1"/>
  <c r="I42" i="5" s="1"/>
  <c r="E39" i="5"/>
  <c r="I39" i="5" s="1"/>
  <c r="E52" i="5" l="1"/>
  <c r="I52" i="5" s="1"/>
  <c r="E69" i="5"/>
  <c r="I69" i="5" s="1"/>
  <c r="E77" i="5"/>
  <c r="I77" i="5" s="1"/>
  <c r="L23" i="2"/>
  <c r="J23" i="2" s="1"/>
  <c r="Q23" i="2"/>
  <c r="E24" i="5"/>
  <c r="I31" i="5"/>
  <c r="I32" i="5"/>
  <c r="I34" i="5"/>
  <c r="I24" i="5" l="1"/>
  <c r="E20" i="5"/>
  <c r="I20" i="5" s="1"/>
  <c r="E65" i="5"/>
  <c r="I65" i="5" s="1"/>
  <c r="R37" i="2"/>
  <c r="E49" i="5" l="1"/>
  <c r="I49" i="5" s="1"/>
  <c r="E101" i="5"/>
  <c r="I101" i="5" s="1"/>
  <c r="E84" i="5"/>
  <c r="E80" i="5"/>
  <c r="E63" i="5"/>
  <c r="I63" i="5" s="1"/>
  <c r="E53" i="5"/>
  <c r="I53" i="5" s="1"/>
  <c r="E45" i="5"/>
  <c r="I45" i="5" s="1"/>
  <c r="E43" i="5"/>
  <c r="I43" i="5" s="1"/>
  <c r="E38" i="5"/>
  <c r="I38" i="5" s="1"/>
  <c r="E18" i="5"/>
  <c r="I18" i="5" s="1"/>
  <c r="E13" i="5"/>
  <c r="E11" i="5"/>
  <c r="I11" i="5" s="1"/>
  <c r="E8" i="5"/>
  <c r="I8" i="5" s="1"/>
  <c r="I13" i="5" l="1"/>
  <c r="E10" i="5"/>
  <c r="I10" i="5" s="1"/>
  <c r="E79" i="5"/>
  <c r="I79" i="5" s="1"/>
  <c r="I80" i="5"/>
  <c r="E82" i="5"/>
  <c r="I82" i="5" s="1"/>
  <c r="I84" i="5"/>
  <c r="O6" i="5"/>
  <c r="L6" i="5"/>
  <c r="E90" i="5"/>
  <c r="I90" i="5" s="1"/>
  <c r="L5" i="5" l="1"/>
  <c r="L8" i="5" s="1"/>
  <c r="O5" i="5"/>
  <c r="O8" i="5" s="1"/>
  <c r="R151" i="2"/>
  <c r="R137" i="2"/>
  <c r="R149" i="2"/>
  <c r="R132" i="2"/>
  <c r="R253" i="2" l="1"/>
  <c r="Q259" i="2"/>
  <c r="Q35" i="2"/>
  <c r="R212" i="2"/>
  <c r="R232" i="2"/>
  <c r="R84" i="2"/>
  <c r="R237" i="2"/>
  <c r="N190" i="2" l="1"/>
  <c r="N212" i="2"/>
  <c r="R95" i="2"/>
  <c r="N33" i="2"/>
  <c r="N20" i="2"/>
  <c r="R244" i="2" l="1"/>
  <c r="R242" i="2"/>
  <c r="R221" i="2"/>
  <c r="Q221" i="2" s="1"/>
  <c r="R199" i="2"/>
  <c r="R187" i="2"/>
  <c r="R179" i="2"/>
  <c r="R103" i="2"/>
  <c r="Q103" i="2" s="1"/>
  <c r="R239" i="2"/>
  <c r="R235" i="2"/>
  <c r="R229" i="2"/>
  <c r="R230" i="2"/>
  <c r="R274" i="2"/>
  <c r="R186" i="2"/>
  <c r="Q120" i="2"/>
  <c r="R112" i="2"/>
  <c r="Q112" i="2" s="1"/>
  <c r="R113" i="2"/>
  <c r="Q113" i="2" s="1"/>
  <c r="R114" i="2"/>
  <c r="Q114" i="2" s="1"/>
  <c r="R115" i="2"/>
  <c r="Q115" i="2" s="1"/>
  <c r="Q116" i="2"/>
  <c r="R104" i="2"/>
  <c r="Q104" i="2" s="1"/>
  <c r="R105" i="2"/>
  <c r="Q105" i="2" s="1"/>
  <c r="R106" i="2"/>
  <c r="Q106" i="2" s="1"/>
  <c r="R107" i="2"/>
  <c r="Q107" i="2" s="1"/>
  <c r="R108" i="2"/>
  <c r="Q108" i="2" s="1"/>
  <c r="R109" i="2"/>
  <c r="Q109" i="2" s="1"/>
  <c r="R110" i="2"/>
  <c r="Q110" i="2" s="1"/>
  <c r="R111" i="2"/>
  <c r="Q111" i="2" s="1"/>
  <c r="Q89" i="2"/>
  <c r="R258" i="2"/>
  <c r="O156" i="2"/>
  <c r="P156" i="2"/>
  <c r="Q156" i="2"/>
  <c r="N156" i="2"/>
  <c r="O176" i="2"/>
  <c r="P176" i="2"/>
  <c r="O207" i="2"/>
  <c r="P207" i="2"/>
  <c r="O219" i="2"/>
  <c r="P219" i="2"/>
  <c r="Q258" i="2"/>
  <c r="Q102" i="2" l="1"/>
  <c r="R102" i="2"/>
  <c r="R213" i="2"/>
  <c r="R96" i="2"/>
  <c r="N73" i="2"/>
  <c r="N102" i="2"/>
  <c r="R117" i="2"/>
  <c r="N152" i="2"/>
  <c r="N165" i="2"/>
  <c r="N173" i="2"/>
  <c r="R188" i="2"/>
  <c r="R46" i="2"/>
  <c r="N126" i="2"/>
  <c r="N133" i="2"/>
  <c r="N138" i="2"/>
  <c r="N181" i="2"/>
  <c r="R204" i="2"/>
  <c r="R250" i="2"/>
  <c r="R263" i="2"/>
  <c r="P265" i="2" l="1"/>
  <c r="R219" i="2"/>
  <c r="R82" i="2"/>
  <c r="R80" i="2"/>
  <c r="Q80" i="2" s="1"/>
  <c r="R156" i="2" l="1"/>
  <c r="R174" i="2"/>
  <c r="R173" i="2" s="1"/>
  <c r="R146" i="2"/>
  <c r="R211" i="2"/>
  <c r="R208" i="2"/>
  <c r="R207" i="2" l="1"/>
  <c r="Q274" i="2"/>
  <c r="R241" i="2"/>
  <c r="V230" i="2" l="1"/>
  <c r="O253" i="2"/>
  <c r="P253" i="2"/>
  <c r="Q253" i="2"/>
  <c r="O250" i="2"/>
  <c r="P250" i="2"/>
  <c r="O246" i="2"/>
  <c r="P246" i="2"/>
  <c r="N246" i="2"/>
  <c r="O228" i="2"/>
  <c r="P228" i="2"/>
  <c r="O204" i="2"/>
  <c r="P204" i="2"/>
  <c r="O197" i="2"/>
  <c r="P197" i="2"/>
  <c r="O193" i="2"/>
  <c r="P193" i="2"/>
  <c r="O190" i="2"/>
  <c r="P190" i="2"/>
  <c r="O181" i="2"/>
  <c r="P181" i="2"/>
  <c r="O173" i="2"/>
  <c r="P173" i="2"/>
  <c r="O165" i="2"/>
  <c r="P165" i="2"/>
  <c r="O163" i="2"/>
  <c r="P163" i="2"/>
  <c r="O152" i="2"/>
  <c r="P152" i="2"/>
  <c r="O150" i="2"/>
  <c r="P150" i="2"/>
  <c r="R150" i="2"/>
  <c r="N150" i="2"/>
  <c r="O142" i="2"/>
  <c r="P142" i="2"/>
  <c r="O138" i="2"/>
  <c r="P138" i="2"/>
  <c r="O133" i="2"/>
  <c r="P133" i="2"/>
  <c r="O126" i="2"/>
  <c r="P126" i="2"/>
  <c r="O102" i="2"/>
  <c r="P102" i="2"/>
  <c r="P93" i="2"/>
  <c r="P90" i="2"/>
  <c r="P73" i="2"/>
  <c r="P60" i="2"/>
  <c r="N55" i="2"/>
  <c r="N49" i="2"/>
  <c r="P40" i="2"/>
  <c r="P21" i="2"/>
  <c r="O19" i="2"/>
  <c r="P19" i="2"/>
  <c r="P14" i="2"/>
  <c r="O12" i="2"/>
  <c r="P12" i="2"/>
  <c r="P8" i="2"/>
  <c r="N8" i="2"/>
  <c r="Q237" i="2"/>
  <c r="Q270" i="2"/>
  <c r="Q269" i="2"/>
  <c r="Q268" i="2"/>
  <c r="Q267" i="2"/>
  <c r="Q266" i="2"/>
  <c r="Q265" i="2"/>
  <c r="Q264" i="2"/>
  <c r="Q251" i="2"/>
  <c r="Q250" i="2" s="1"/>
  <c r="Q238" i="2"/>
  <c r="Q236" i="2"/>
  <c r="Q222" i="2"/>
  <c r="Q218" i="2"/>
  <c r="Q217" i="2"/>
  <c r="Q216" i="2"/>
  <c r="Q215" i="2"/>
  <c r="Q214" i="2"/>
  <c r="Q210" i="2"/>
  <c r="Q206" i="2"/>
  <c r="Q205" i="2"/>
  <c r="Q201" i="2"/>
  <c r="Q196" i="2"/>
  <c r="Q195" i="2"/>
  <c r="Q192" i="2"/>
  <c r="Q189" i="2"/>
  <c r="Q186" i="2"/>
  <c r="Q185" i="2"/>
  <c r="Q184" i="2"/>
  <c r="Q182" i="2"/>
  <c r="Q179" i="2"/>
  <c r="Q178" i="2"/>
  <c r="Q155" i="2"/>
  <c r="Q154" i="2"/>
  <c r="Q151" i="2"/>
  <c r="Q150" i="2" s="1"/>
  <c r="Q149" i="2"/>
  <c r="Q148" i="2"/>
  <c r="Q144" i="2"/>
  <c r="Q141" i="2"/>
  <c r="Q140" i="2"/>
  <c r="Q137" i="2"/>
  <c r="Q136" i="2"/>
  <c r="Q135" i="2"/>
  <c r="Q129" i="2"/>
  <c r="Q131" i="2"/>
  <c r="Q118" i="2"/>
  <c r="Q86" i="2"/>
  <c r="Q83" i="2"/>
  <c r="Q79" i="2"/>
  <c r="Q77" i="2"/>
  <c r="Q74" i="2"/>
  <c r="Q68" i="2"/>
  <c r="Q65" i="2"/>
  <c r="Q64" i="2"/>
  <c r="Q63" i="2"/>
  <c r="Q62" i="2"/>
  <c r="Q61" i="2"/>
  <c r="Q46" i="2"/>
  <c r="Q38" i="2"/>
  <c r="Q30" i="2"/>
  <c r="Q29" i="2"/>
  <c r="Q28" i="2"/>
  <c r="Q27" i="2"/>
  <c r="Q26" i="2"/>
  <c r="Q25" i="2"/>
  <c r="Q24" i="2"/>
  <c r="R176" i="2"/>
  <c r="S150" i="2" l="1"/>
  <c r="Q263" i="2"/>
  <c r="O227" i="2"/>
  <c r="P125" i="2"/>
  <c r="O125" i="2"/>
  <c r="Q172" i="2"/>
  <c r="Q171" i="2" s="1"/>
  <c r="R171" i="2"/>
  <c r="Q204" i="2"/>
  <c r="Q177" i="2"/>
  <c r="Q176" i="2" s="1"/>
  <c r="P227" i="2"/>
  <c r="P11" i="2"/>
  <c r="Q187" i="2"/>
  <c r="R152" i="2"/>
  <c r="Q130" i="2"/>
  <c r="R128" i="2"/>
  <c r="Q128" i="2" s="1"/>
  <c r="Q127" i="2" l="1"/>
  <c r="Q153" i="2"/>
  <c r="Q152" i="2" s="1"/>
  <c r="S156" i="2"/>
  <c r="Q235" i="2"/>
  <c r="Q146" i="2" l="1"/>
  <c r="Q244" i="2"/>
  <c r="Q242" i="2"/>
  <c r="Q241" i="2"/>
  <c r="Q240" i="2"/>
  <c r="Q239" i="2"/>
  <c r="R234" i="2"/>
  <c r="P59" i="2"/>
  <c r="U61" i="2"/>
  <c r="R194" i="2"/>
  <c r="R193" i="2" s="1"/>
  <c r="Q232" i="2"/>
  <c r="R183" i="2"/>
  <c r="R181" i="2" s="1"/>
  <c r="Q199" i="2"/>
  <c r="U62" i="2" l="1"/>
  <c r="Q234" i="2"/>
  <c r="Q183" i="2"/>
  <c r="Q181" i="2" s="1"/>
  <c r="Q194" i="2"/>
  <c r="Q193" i="2" s="1"/>
  <c r="R231" i="2"/>
  <c r="Q230" i="2"/>
  <c r="R59" i="2" l="1"/>
  <c r="Q59" i="2" s="1"/>
  <c r="Q231" i="2"/>
  <c r="N238" i="2"/>
  <c r="R143" i="2"/>
  <c r="R145" i="2"/>
  <c r="Q145" i="2" s="1"/>
  <c r="L160" i="2"/>
  <c r="J160" i="2" s="1"/>
  <c r="J157" i="2"/>
  <c r="R226" i="2"/>
  <c r="Q226" i="2" s="1"/>
  <c r="R225" i="2"/>
  <c r="Q225" i="2" s="1"/>
  <c r="R224" i="2"/>
  <c r="Q224" i="2" s="1"/>
  <c r="R223" i="2"/>
  <c r="Q223" i="2" s="1"/>
  <c r="Q143" i="2" l="1"/>
  <c r="R245" i="2"/>
  <c r="Q245" i="2" s="1"/>
  <c r="R233" i="2"/>
  <c r="Q233" i="2" s="1"/>
  <c r="R243" i="2"/>
  <c r="R97" i="2"/>
  <c r="Q97" i="2" s="1"/>
  <c r="Q211" i="2"/>
  <c r="Q209" i="2"/>
  <c r="Q203" i="2"/>
  <c r="R67" i="2"/>
  <c r="Q67" i="2" s="1"/>
  <c r="R198" i="2"/>
  <c r="R197" i="2" s="1"/>
  <c r="R190" i="2"/>
  <c r="Q243" i="2" l="1"/>
  <c r="R228" i="2"/>
  <c r="Q229" i="2"/>
  <c r="Q220" i="2"/>
  <c r="Q219" i="2" s="1"/>
  <c r="Q198" i="2"/>
  <c r="Q197" i="2" s="1"/>
  <c r="Q191" i="2"/>
  <c r="Q190" i="2" s="1"/>
  <c r="Q208" i="2"/>
  <c r="Q207" i="2" s="1"/>
  <c r="Q228" i="2" l="1"/>
  <c r="Q174" i="2"/>
  <c r="Q173" i="2" s="1"/>
  <c r="R20" i="2"/>
  <c r="O95" i="2"/>
  <c r="R147" i="2"/>
  <c r="R142" i="2" s="1"/>
  <c r="S139" i="2"/>
  <c r="Q147" i="2" l="1"/>
  <c r="Q142" i="2" s="1"/>
  <c r="R19" i="2"/>
  <c r="Q20" i="2"/>
  <c r="Q19" i="2" s="1"/>
  <c r="R166" i="2"/>
  <c r="R164" i="2"/>
  <c r="R163" i="2" s="1"/>
  <c r="Q164" i="2" l="1"/>
  <c r="Q163" i="2" s="1"/>
  <c r="Q166" i="2"/>
  <c r="O273" i="2"/>
  <c r="P273" i="2"/>
  <c r="R273" i="2"/>
  <c r="R272" i="2" s="1"/>
  <c r="Q273" i="2"/>
  <c r="Q272" i="2" s="1"/>
  <c r="O272" i="2"/>
  <c r="P272" i="2"/>
  <c r="P258" i="2"/>
  <c r="O258" i="2"/>
  <c r="O263" i="2"/>
  <c r="P263" i="2"/>
  <c r="R248" i="2"/>
  <c r="Q248" i="2" s="1"/>
  <c r="R247" i="2"/>
  <c r="Q188" i="2"/>
  <c r="P188" i="2"/>
  <c r="O188" i="2"/>
  <c r="R200" i="2"/>
  <c r="Q200" i="2"/>
  <c r="P200" i="2"/>
  <c r="O200" i="2"/>
  <c r="O202" i="2"/>
  <c r="P202" i="2"/>
  <c r="Q202" i="2"/>
  <c r="R202" i="2"/>
  <c r="O171" i="2"/>
  <c r="O162" i="2" s="1"/>
  <c r="P171" i="2"/>
  <c r="P162" i="2" s="1"/>
  <c r="R126" i="2"/>
  <c r="S126" i="2" s="1"/>
  <c r="R246" i="2" l="1"/>
  <c r="R227" i="2" s="1"/>
  <c r="Q132" i="2"/>
  <c r="Q126" i="2" s="1"/>
  <c r="Q247" i="2"/>
  <c r="Q246" i="2" s="1"/>
  <c r="Q227" i="2" s="1"/>
  <c r="R101" i="2" l="1"/>
  <c r="R16" i="2"/>
  <c r="Q16" i="2" s="1"/>
  <c r="R167" i="2"/>
  <c r="R168" i="2"/>
  <c r="R15" i="2"/>
  <c r="N163" i="2"/>
  <c r="R13" i="2"/>
  <c r="O72" i="2"/>
  <c r="R134" i="2"/>
  <c r="R133" i="2" s="1"/>
  <c r="R138" i="2"/>
  <c r="R165" i="2" l="1"/>
  <c r="R162" i="2" s="1"/>
  <c r="R125" i="2"/>
  <c r="R72" i="2"/>
  <c r="Q72" i="2" s="1"/>
  <c r="S133" i="2"/>
  <c r="Q134" i="2"/>
  <c r="Q133" i="2" s="1"/>
  <c r="R12" i="2"/>
  <c r="Q13" i="2"/>
  <c r="Q12" i="2" s="1"/>
  <c r="R17" i="2"/>
  <c r="Q17" i="2" s="1"/>
  <c r="Q168" i="2"/>
  <c r="Q167" i="2"/>
  <c r="Q139" i="2"/>
  <c r="Q138" i="2" s="1"/>
  <c r="S138" i="2"/>
  <c r="Q15" i="2"/>
  <c r="S152" i="2"/>
  <c r="P124" i="2"/>
  <c r="P122" i="2" s="1"/>
  <c r="P121" i="2" s="1"/>
  <c r="O124" i="2"/>
  <c r="O122" i="2" s="1"/>
  <c r="O121" i="2" s="1"/>
  <c r="O117" i="2"/>
  <c r="O101" i="2" s="1"/>
  <c r="P117" i="2"/>
  <c r="P101" i="2" s="1"/>
  <c r="Q117" i="2"/>
  <c r="Q101" i="2" s="1"/>
  <c r="Q95" i="2"/>
  <c r="Q96" i="2"/>
  <c r="O94" i="2"/>
  <c r="O93" i="2" s="1"/>
  <c r="R78" i="2"/>
  <c r="Q78" i="2" s="1"/>
  <c r="Q84" i="2"/>
  <c r="Q85" i="2"/>
  <c r="O85" i="2"/>
  <c r="R76" i="2"/>
  <c r="Q76" i="2" s="1"/>
  <c r="O76" i="2"/>
  <c r="R75" i="2"/>
  <c r="O75" i="2"/>
  <c r="R81" i="2"/>
  <c r="Q81" i="2" s="1"/>
  <c r="O81" i="2"/>
  <c r="O33" i="2"/>
  <c r="R124" i="2" l="1"/>
  <c r="R122" i="2" s="1"/>
  <c r="R121" i="2" s="1"/>
  <c r="R73" i="2"/>
  <c r="Q125" i="2"/>
  <c r="Q165" i="2"/>
  <c r="Q162" i="2" s="1"/>
  <c r="Q71" i="2"/>
  <c r="R71" i="2"/>
  <c r="Q14" i="2"/>
  <c r="Q11" i="2" s="1"/>
  <c r="R14" i="2"/>
  <c r="R11" i="2" s="1"/>
  <c r="Q75" i="2"/>
  <c r="R94" i="2"/>
  <c r="R93" i="2" s="1"/>
  <c r="O71" i="2"/>
  <c r="P71" i="2"/>
  <c r="O59" i="2"/>
  <c r="R58" i="2"/>
  <c r="R57" i="2"/>
  <c r="R56" i="2"/>
  <c r="Q56" i="2" s="1"/>
  <c r="O57" i="2"/>
  <c r="O56" i="2"/>
  <c r="P55" i="2"/>
  <c r="P51" i="2" s="1"/>
  <c r="N90" i="2"/>
  <c r="O91" i="2"/>
  <c r="O92" i="2"/>
  <c r="R92" i="2" s="1"/>
  <c r="Q82" i="2"/>
  <c r="O82" i="2"/>
  <c r="O73" i="2" s="1"/>
  <c r="R66" i="2"/>
  <c r="R60" i="2" s="1"/>
  <c r="O67" i="2"/>
  <c r="O66" i="2"/>
  <c r="Q124" i="2" l="1"/>
  <c r="Q122" i="2" s="1"/>
  <c r="Q121" i="2" s="1"/>
  <c r="Q92" i="2"/>
  <c r="Q57" i="2"/>
  <c r="Q55" i="2" s="1"/>
  <c r="R55" i="2"/>
  <c r="Q73" i="2"/>
  <c r="O60" i="2"/>
  <c r="O90" i="2"/>
  <c r="Q94" i="2"/>
  <c r="Q93" i="2" s="1"/>
  <c r="Q66" i="2"/>
  <c r="Q60" i="2" s="1"/>
  <c r="R91" i="2"/>
  <c r="Q91" i="2" s="1"/>
  <c r="O55" i="2"/>
  <c r="R90" i="2" l="1"/>
  <c r="S90" i="2" s="1"/>
  <c r="Q90" i="2"/>
  <c r="R54" i="2"/>
  <c r="Q54" i="2" s="1"/>
  <c r="R53" i="2"/>
  <c r="Q53" i="2" s="1"/>
  <c r="O52" i="2"/>
  <c r="O51" i="2" s="1"/>
  <c r="P49" i="2"/>
  <c r="R48" i="2"/>
  <c r="Q48" i="2" s="1"/>
  <c r="P43" i="2"/>
  <c r="P7" i="2" s="1"/>
  <c r="O50" i="2"/>
  <c r="R50" i="2" s="1"/>
  <c r="R49" i="2" s="1"/>
  <c r="R47" i="2"/>
  <c r="Q47" i="2" s="1"/>
  <c r="Q50" i="2" l="1"/>
  <c r="Q49" i="2" s="1"/>
  <c r="R52" i="2"/>
  <c r="R51" i="2" s="1"/>
  <c r="O49" i="2"/>
  <c r="Q52" i="2" l="1"/>
  <c r="Q51" i="2" s="1"/>
  <c r="O44" i="2"/>
  <c r="O43" i="2" l="1"/>
  <c r="R44" i="2"/>
  <c r="R43" i="2" s="1"/>
  <c r="R42" i="2"/>
  <c r="R40" i="2" s="1"/>
  <c r="O42" i="2"/>
  <c r="O40" i="2" s="1"/>
  <c r="Q37" i="2"/>
  <c r="O36" i="2"/>
  <c r="R9" i="2"/>
  <c r="R33" i="2"/>
  <c r="Q33" i="2" s="1"/>
  <c r="O29" i="2"/>
  <c r="O22" i="2"/>
  <c r="R36" i="2" l="1"/>
  <c r="Q36" i="2" s="1"/>
  <c r="Q9" i="2"/>
  <c r="Q8" i="2" s="1"/>
  <c r="R8" i="2"/>
  <c r="Q42" i="2"/>
  <c r="Q40" i="2" s="1"/>
  <c r="Q44" i="2"/>
  <c r="Q43" i="2" s="1"/>
  <c r="R22" i="2"/>
  <c r="Q22" i="2" s="1"/>
  <c r="R34" i="2"/>
  <c r="Q34" i="2" s="1"/>
  <c r="O34" i="2"/>
  <c r="R31" i="2"/>
  <c r="Q31" i="2" s="1"/>
  <c r="O31" i="2"/>
  <c r="Q32" i="2"/>
  <c r="O16" i="2"/>
  <c r="O17" i="2"/>
  <c r="O9" i="2"/>
  <c r="O8" i="2" s="1"/>
  <c r="O21" i="2" l="1"/>
  <c r="R21" i="2"/>
  <c r="O14" i="2"/>
  <c r="O11" i="2" s="1"/>
  <c r="Q21" i="2"/>
  <c r="Q7" i="2" s="1"/>
  <c r="Q6" i="2" s="1"/>
  <c r="Q5" i="2" s="1"/>
  <c r="R7" i="2"/>
  <c r="R6" i="2" s="1"/>
  <c r="R5" i="2" s="1"/>
  <c r="P6" i="2"/>
  <c r="P5" i="2" s="1"/>
  <c r="P271" i="2" s="1"/>
  <c r="P275" i="2" s="1"/>
  <c r="P277" i="2" s="1"/>
  <c r="P276" i="2" s="1"/>
  <c r="P278" i="2" s="1"/>
  <c r="N259" i="2"/>
  <c r="N43" i="2"/>
  <c r="S43" i="2" s="1"/>
  <c r="AD173" i="2"/>
  <c r="L84" i="2"/>
  <c r="O7" i="2" l="1"/>
  <c r="O6" i="2" s="1"/>
  <c r="O5" i="2" s="1"/>
  <c r="O271" i="2" s="1"/>
  <c r="O275" i="2" s="1"/>
  <c r="S21" i="2"/>
  <c r="Q271" i="2"/>
  <c r="Q275" i="2" s="1"/>
  <c r="P4" i="2"/>
  <c r="R271" i="2"/>
  <c r="L20" i="2"/>
  <c r="Q277" i="2" l="1"/>
  <c r="Q276" i="2" s="1"/>
  <c r="Q278" i="2" s="1"/>
  <c r="Q4" i="2"/>
  <c r="R275" i="2"/>
  <c r="O277" i="2"/>
  <c r="O276" i="2" s="1"/>
  <c r="O278" i="2" s="1"/>
  <c r="O4" i="2"/>
  <c r="N171" i="2"/>
  <c r="N162" i="2" s="1"/>
  <c r="S162" i="2" s="1"/>
  <c r="L172" i="2"/>
  <c r="N19" i="2"/>
  <c r="N251" i="2"/>
  <c r="L127" i="2"/>
  <c r="R277" i="2" l="1"/>
  <c r="R276" i="2" s="1"/>
  <c r="R278" i="2" s="1"/>
  <c r="R4" i="2"/>
  <c r="L206" i="2"/>
  <c r="AA183" i="2"/>
  <c r="F4" i="3"/>
  <c r="F3" i="3"/>
  <c r="F29" i="3"/>
  <c r="F24" i="3"/>
  <c r="F5" i="3" s="1"/>
  <c r="F28" i="3"/>
  <c r="F7" i="3" l="1"/>
  <c r="F2" i="3"/>
  <c r="F30" i="3"/>
  <c r="K8" i="3" l="1"/>
  <c r="K6" i="3"/>
  <c r="K4" i="3"/>
  <c r="K3" i="3"/>
  <c r="K7" i="3"/>
  <c r="K5" i="3"/>
  <c r="E3" i="3"/>
  <c r="E24" i="3"/>
  <c r="E5" i="3" s="1"/>
  <c r="D24" i="3"/>
  <c r="E27" i="3"/>
  <c r="E4" i="3" s="1"/>
  <c r="D22" i="3"/>
  <c r="D3" i="3" s="1"/>
  <c r="D28" i="3"/>
  <c r="D29" i="3"/>
  <c r="K2" i="3" l="1"/>
  <c r="E28" i="3"/>
  <c r="E7" i="3" s="1"/>
  <c r="E2" i="3" s="1"/>
  <c r="D30" i="3"/>
  <c r="E30" i="3" l="1"/>
  <c r="J3" i="3"/>
  <c r="J8" i="3"/>
  <c r="J6" i="3"/>
  <c r="J4" i="3"/>
  <c r="J7" i="3"/>
  <c r="J5" i="3"/>
  <c r="C15" i="3"/>
  <c r="J2" i="3" l="1"/>
  <c r="F15" i="3"/>
  <c r="E15" i="3"/>
  <c r="D15" i="3"/>
  <c r="I45" i="2" l="1"/>
  <c r="I44" i="2"/>
  <c r="I40" i="2"/>
  <c r="I55" i="2"/>
  <c r="I73" i="2"/>
  <c r="I133" i="2"/>
  <c r="I190" i="2"/>
  <c r="I173" i="2"/>
  <c r="K165" i="2"/>
  <c r="I237" i="2"/>
  <c r="I177" i="2"/>
  <c r="I176" i="2" s="1"/>
  <c r="I118" i="2"/>
  <c r="I268" i="2"/>
  <c r="I206" i="2"/>
  <c r="K206" i="2"/>
  <c r="I203" i="2"/>
  <c r="I187" i="2"/>
  <c r="K184" i="2"/>
  <c r="K182" i="2"/>
  <c r="I182" i="2"/>
  <c r="I184" i="2"/>
  <c r="I230" i="2"/>
  <c r="I167" i="2"/>
  <c r="I149" i="2"/>
  <c r="I148" i="2"/>
  <c r="I168" i="2"/>
  <c r="I146" i="2"/>
  <c r="I140" i="2"/>
  <c r="I138" i="2" s="1"/>
  <c r="I130" i="2"/>
  <c r="I128" i="2"/>
  <c r="I126" i="2" l="1"/>
  <c r="I181" i="2"/>
  <c r="I43" i="2"/>
  <c r="I165" i="2"/>
  <c r="I142" i="2"/>
  <c r="I266" i="2"/>
  <c r="F263" i="2"/>
  <c r="G263" i="2"/>
  <c r="K263" i="2"/>
  <c r="M263" i="2"/>
  <c r="N263" i="2"/>
  <c r="E263" i="2"/>
  <c r="I171" i="2"/>
  <c r="I152" i="2"/>
  <c r="I253" i="2"/>
  <c r="I246" i="2"/>
  <c r="I202" i="2"/>
  <c r="K190" i="2"/>
  <c r="K171" i="2"/>
  <c r="L171" i="2"/>
  <c r="K152" i="2"/>
  <c r="L40" i="2"/>
  <c r="L19" i="2"/>
  <c r="L102" i="2"/>
  <c r="L253" i="2"/>
  <c r="L266" i="2" l="1"/>
  <c r="L263" i="2" s="1"/>
  <c r="I263" i="2"/>
  <c r="S263" i="2" l="1"/>
  <c r="I251" i="2" l="1"/>
  <c r="I250" i="2" s="1"/>
  <c r="I120" i="2"/>
  <c r="I103" i="2"/>
  <c r="I102" i="2" s="1"/>
  <c r="I10" i="2"/>
  <c r="I50" i="2"/>
  <c r="I49" i="2" s="1"/>
  <c r="I9" i="2"/>
  <c r="I234" i="2"/>
  <c r="I240" i="2"/>
  <c r="I241" i="2"/>
  <c r="I242" i="2"/>
  <c r="I229" i="2"/>
  <c r="I204" i="2"/>
  <c r="I197" i="2"/>
  <c r="I193" i="2"/>
  <c r="I163" i="2"/>
  <c r="I162" i="2" s="1"/>
  <c r="I156" i="2" s="1"/>
  <c r="I150" i="2"/>
  <c r="I125" i="2" s="1"/>
  <c r="I71" i="2"/>
  <c r="I60" i="2"/>
  <c r="I51" i="2"/>
  <c r="I21" i="2"/>
  <c r="I19" i="2"/>
  <c r="I14" i="2"/>
  <c r="I12" i="2"/>
  <c r="N282" i="2"/>
  <c r="M190" i="2"/>
  <c r="M8" i="2"/>
  <c r="D2" i="3"/>
  <c r="I8" i="2" l="1"/>
  <c r="I124" i="2"/>
  <c r="I122" i="2" s="1"/>
  <c r="L120" i="2"/>
  <c r="I117" i="2"/>
  <c r="I101" i="2" s="1"/>
  <c r="I228" i="2"/>
  <c r="I227" i="2" s="1"/>
  <c r="I8" i="3"/>
  <c r="I3" i="3"/>
  <c r="I11" i="2"/>
  <c r="I5" i="3"/>
  <c r="I4" i="3"/>
  <c r="I6" i="3"/>
  <c r="I7" i="3"/>
  <c r="I2" i="3" l="1"/>
  <c r="I121" i="2"/>
  <c r="I7" i="2"/>
  <c r="I6" i="2" l="1"/>
  <c r="I5" i="2" s="1"/>
  <c r="I271" i="2" s="1"/>
  <c r="I275" i="2" s="1"/>
  <c r="N177" i="2"/>
  <c r="N176" i="2" s="1"/>
  <c r="I278" i="2" l="1"/>
  <c r="I279" i="2" s="1"/>
  <c r="I4" i="2"/>
  <c r="B7" i="3"/>
  <c r="L178" i="2"/>
  <c r="L237" i="2"/>
  <c r="J237" i="2" s="1"/>
  <c r="L204" i="2"/>
  <c r="L235" i="2"/>
  <c r="J235" i="2" s="1"/>
  <c r="L132" i="2"/>
  <c r="L149" i="2"/>
  <c r="J149" i="2" s="1"/>
  <c r="L141" i="2"/>
  <c r="J141" i="2" s="1"/>
  <c r="J267" i="2"/>
  <c r="AA179" i="2"/>
  <c r="M241" i="2"/>
  <c r="L33" i="2"/>
  <c r="J33" i="2" s="1"/>
  <c r="L46" i="2"/>
  <c r="G286" i="2"/>
  <c r="K276" i="2"/>
  <c r="L273" i="2"/>
  <c r="L272" i="2" s="1"/>
  <c r="J274" i="2"/>
  <c r="J273" i="2" s="1"/>
  <c r="J272" i="2" s="1"/>
  <c r="H274" i="2"/>
  <c r="H273" i="2" s="1"/>
  <c r="H272" i="2" s="1"/>
  <c r="N273" i="2"/>
  <c r="N272" i="2" s="1"/>
  <c r="M273" i="2"/>
  <c r="M272" i="2" s="1"/>
  <c r="K273" i="2"/>
  <c r="K272" i="2" s="1"/>
  <c r="G273" i="2"/>
  <c r="G272" i="2" s="1"/>
  <c r="F273" i="2"/>
  <c r="F272" i="2" s="1"/>
  <c r="E273" i="2"/>
  <c r="E272" i="2" s="1"/>
  <c r="J268" i="2"/>
  <c r="J265" i="2"/>
  <c r="H265" i="2"/>
  <c r="H263" i="2" s="1"/>
  <c r="N258" i="2"/>
  <c r="M258" i="2"/>
  <c r="J255" i="2"/>
  <c r="J254" i="2"/>
  <c r="E254" i="2"/>
  <c r="E253" i="2" s="1"/>
  <c r="N253" i="2"/>
  <c r="M253" i="2"/>
  <c r="K253" i="2"/>
  <c r="H253" i="2"/>
  <c r="G253" i="2"/>
  <c r="F253" i="2"/>
  <c r="L252" i="2"/>
  <c r="N250" i="2"/>
  <c r="L251" i="2"/>
  <c r="M250" i="2"/>
  <c r="K250" i="2"/>
  <c r="H250" i="2"/>
  <c r="G250" i="2"/>
  <c r="F250" i="2"/>
  <c r="E250" i="2"/>
  <c r="M248" i="2"/>
  <c r="L248" i="2"/>
  <c r="J248" i="2" s="1"/>
  <c r="AA239" i="2"/>
  <c r="M247" i="2"/>
  <c r="L247" i="2"/>
  <c r="AA238" i="2"/>
  <c r="K246" i="2"/>
  <c r="H246" i="2"/>
  <c r="G246" i="2"/>
  <c r="F246" i="2"/>
  <c r="E246" i="2"/>
  <c r="AA237" i="2"/>
  <c r="N244" i="2"/>
  <c r="M244" i="2"/>
  <c r="AA236" i="2"/>
  <c r="N242" i="2"/>
  <c r="M242" i="2"/>
  <c r="L242" i="2"/>
  <c r="J242" i="2" s="1"/>
  <c r="AA235" i="2"/>
  <c r="N241" i="2"/>
  <c r="L241" i="2"/>
  <c r="J241" i="2" s="1"/>
  <c r="N240" i="2"/>
  <c r="M240" i="2"/>
  <c r="J239" i="2"/>
  <c r="H239" i="2"/>
  <c r="H228" i="2" s="1"/>
  <c r="M238" i="2"/>
  <c r="L238" i="2"/>
  <c r="J238" i="2" s="1"/>
  <c r="J236" i="2"/>
  <c r="J234" i="2"/>
  <c r="L233" i="2"/>
  <c r="J233" i="2" s="1"/>
  <c r="L231" i="2"/>
  <c r="J230" i="2"/>
  <c r="J229" i="2"/>
  <c r="L232" i="2"/>
  <c r="K228" i="2"/>
  <c r="G228" i="2"/>
  <c r="F228" i="2"/>
  <c r="E228" i="2"/>
  <c r="M222" i="2"/>
  <c r="M96" i="2" s="1"/>
  <c r="N221" i="2"/>
  <c r="N219" i="2" s="1"/>
  <c r="M221" i="2"/>
  <c r="L219" i="2"/>
  <c r="K219" i="2"/>
  <c r="J219" i="2"/>
  <c r="H219" i="2"/>
  <c r="G219" i="2"/>
  <c r="F219" i="2"/>
  <c r="E219" i="2"/>
  <c r="N211" i="2"/>
  <c r="M211" i="2"/>
  <c r="M216" i="2"/>
  <c r="N216" i="2" s="1"/>
  <c r="M215" i="2"/>
  <c r="N215" i="2" s="1"/>
  <c r="N209" i="2"/>
  <c r="M209" i="2"/>
  <c r="N208" i="2"/>
  <c r="N207" i="2" s="1"/>
  <c r="M208" i="2"/>
  <c r="L207" i="2"/>
  <c r="K207" i="2"/>
  <c r="J207" i="2"/>
  <c r="H207" i="2"/>
  <c r="G207" i="2"/>
  <c r="F207" i="2"/>
  <c r="E207" i="2"/>
  <c r="E206" i="2"/>
  <c r="E204" i="2" s="1"/>
  <c r="N204" i="2"/>
  <c r="M204" i="2"/>
  <c r="K204" i="2"/>
  <c r="J204" i="2"/>
  <c r="H204" i="2"/>
  <c r="G204" i="2"/>
  <c r="F204" i="2"/>
  <c r="L203" i="2"/>
  <c r="J203" i="2" s="1"/>
  <c r="J202" i="2" s="1"/>
  <c r="N202" i="2"/>
  <c r="M202" i="2"/>
  <c r="K202" i="2"/>
  <c r="H202" i="2"/>
  <c r="G202" i="2"/>
  <c r="F202" i="2"/>
  <c r="E202" i="2"/>
  <c r="N200" i="2"/>
  <c r="M200" i="2"/>
  <c r="L200" i="2"/>
  <c r="K200" i="2"/>
  <c r="J200" i="2"/>
  <c r="H200" i="2"/>
  <c r="G200" i="2"/>
  <c r="F200" i="2"/>
  <c r="E200" i="2"/>
  <c r="J199" i="2"/>
  <c r="N198" i="2"/>
  <c r="N197" i="2" s="1"/>
  <c r="M198" i="2"/>
  <c r="M197" i="2" s="1"/>
  <c r="L198" i="2"/>
  <c r="K197" i="2"/>
  <c r="H197" i="2"/>
  <c r="G197" i="2"/>
  <c r="F197" i="2"/>
  <c r="E197" i="2"/>
  <c r="L194" i="2"/>
  <c r="N193" i="2"/>
  <c r="M193" i="2"/>
  <c r="K193" i="2"/>
  <c r="H193" i="2"/>
  <c r="G193" i="2"/>
  <c r="F193" i="2"/>
  <c r="E193" i="2"/>
  <c r="L192" i="2"/>
  <c r="J191" i="2"/>
  <c r="H190" i="2"/>
  <c r="G190" i="2"/>
  <c r="F190" i="2"/>
  <c r="E190" i="2"/>
  <c r="L189" i="2"/>
  <c r="L188" i="2" s="1"/>
  <c r="N188" i="2"/>
  <c r="M188" i="2"/>
  <c r="K188" i="2"/>
  <c r="H188" i="2"/>
  <c r="G188" i="2"/>
  <c r="F188" i="2"/>
  <c r="E188" i="2"/>
  <c r="L187" i="2"/>
  <c r="J187" i="2" s="1"/>
  <c r="J186" i="2"/>
  <c r="J46" i="2" s="1"/>
  <c r="M185" i="2"/>
  <c r="M181" i="2" s="1"/>
  <c r="J185" i="2"/>
  <c r="L183" i="2"/>
  <c r="J183" i="2" s="1"/>
  <c r="E183" i="2"/>
  <c r="E181" i="2" s="1"/>
  <c r="J184" i="2"/>
  <c r="AA182" i="2"/>
  <c r="L182" i="2"/>
  <c r="K181" i="2"/>
  <c r="H181" i="2"/>
  <c r="G181" i="2"/>
  <c r="F181" i="2"/>
  <c r="L179" i="2"/>
  <c r="J179" i="2" s="1"/>
  <c r="J177" i="2"/>
  <c r="M176" i="2"/>
  <c r="K176" i="2"/>
  <c r="H176" i="2"/>
  <c r="G176" i="2"/>
  <c r="F176" i="2"/>
  <c r="E176" i="2"/>
  <c r="J175" i="2"/>
  <c r="M173" i="2"/>
  <c r="K173" i="2"/>
  <c r="H173" i="2"/>
  <c r="G173" i="2"/>
  <c r="F173" i="2"/>
  <c r="E173" i="2"/>
  <c r="M172" i="2"/>
  <c r="M171" i="2" s="1"/>
  <c r="J172" i="2"/>
  <c r="J171" i="2" s="1"/>
  <c r="H171" i="2"/>
  <c r="G171" i="2"/>
  <c r="F171" i="2"/>
  <c r="E171" i="2"/>
  <c r="H170" i="2"/>
  <c r="J170" i="2" s="1"/>
  <c r="L169" i="2"/>
  <c r="J169" i="2" s="1"/>
  <c r="J168" i="2"/>
  <c r="L167" i="2"/>
  <c r="M165" i="2"/>
  <c r="H165" i="2"/>
  <c r="G165" i="2"/>
  <c r="F165" i="2"/>
  <c r="E165" i="2"/>
  <c r="M166" i="2"/>
  <c r="M163" i="2" s="1"/>
  <c r="L163" i="2"/>
  <c r="K163" i="2"/>
  <c r="J163" i="2"/>
  <c r="H163" i="2"/>
  <c r="G163" i="2"/>
  <c r="F163" i="2"/>
  <c r="E163" i="2"/>
  <c r="L155" i="2"/>
  <c r="L152" i="2" s="1"/>
  <c r="J153" i="2"/>
  <c r="M152" i="2"/>
  <c r="H152" i="2"/>
  <c r="G152" i="2"/>
  <c r="F152" i="2"/>
  <c r="E152" i="2"/>
  <c r="Z152" i="2" s="1"/>
  <c r="L151" i="2"/>
  <c r="L150" i="2" s="1"/>
  <c r="M150" i="2"/>
  <c r="K150" i="2"/>
  <c r="H150" i="2"/>
  <c r="G150" i="2"/>
  <c r="F150" i="2"/>
  <c r="E150" i="2"/>
  <c r="Z150" i="2" s="1"/>
  <c r="L148" i="2"/>
  <c r="J148" i="2" s="1"/>
  <c r="L147" i="2"/>
  <c r="J147" i="2" s="1"/>
  <c r="L146" i="2"/>
  <c r="N145" i="2"/>
  <c r="N142" i="2" s="1"/>
  <c r="N125" i="2" s="1"/>
  <c r="J145" i="2"/>
  <c r="J144" i="2"/>
  <c r="J143" i="2"/>
  <c r="M142" i="2"/>
  <c r="K142" i="2"/>
  <c r="H142" i="2"/>
  <c r="G142" i="2"/>
  <c r="F142" i="2"/>
  <c r="E142" i="2"/>
  <c r="J140" i="2"/>
  <c r="L139" i="2"/>
  <c r="M138" i="2"/>
  <c r="K138" i="2"/>
  <c r="H138" i="2"/>
  <c r="G138" i="2"/>
  <c r="F138" i="2"/>
  <c r="E138" i="2"/>
  <c r="J137" i="2"/>
  <c r="J136" i="2"/>
  <c r="K135" i="2"/>
  <c r="L135" i="2" s="1"/>
  <c r="L134" i="2"/>
  <c r="M133" i="2"/>
  <c r="H133" i="2"/>
  <c r="G133" i="2"/>
  <c r="F133" i="2"/>
  <c r="E133" i="2"/>
  <c r="J131" i="2"/>
  <c r="L130" i="2"/>
  <c r="J129" i="2"/>
  <c r="J128" i="2"/>
  <c r="J127" i="2"/>
  <c r="M126" i="2"/>
  <c r="K126" i="2"/>
  <c r="H126" i="2"/>
  <c r="G126" i="2"/>
  <c r="F126" i="2"/>
  <c r="E126" i="2"/>
  <c r="J120" i="2"/>
  <c r="J119" i="2"/>
  <c r="J118" i="2"/>
  <c r="N117" i="2"/>
  <c r="M117" i="2"/>
  <c r="K117" i="2"/>
  <c r="H117" i="2"/>
  <c r="G117" i="2"/>
  <c r="F117" i="2"/>
  <c r="E117" i="2"/>
  <c r="J111" i="2"/>
  <c r="J110" i="2"/>
  <c r="J109" i="2"/>
  <c r="J108" i="2"/>
  <c r="J107" i="2"/>
  <c r="J106" i="2"/>
  <c r="J105" i="2"/>
  <c r="J104" i="2"/>
  <c r="J103" i="2"/>
  <c r="B5" i="3"/>
  <c r="M102" i="2"/>
  <c r="K102" i="2"/>
  <c r="H102" i="2"/>
  <c r="G102" i="2"/>
  <c r="F102" i="2"/>
  <c r="E102" i="2"/>
  <c r="N95" i="2"/>
  <c r="B8" i="3" s="1"/>
  <c r="M95" i="2"/>
  <c r="N94" i="2"/>
  <c r="M94" i="2"/>
  <c r="J94" i="2"/>
  <c r="L93" i="2"/>
  <c r="K93" i="2"/>
  <c r="E93" i="2"/>
  <c r="J92" i="2"/>
  <c r="J91" i="2"/>
  <c r="M90" i="2"/>
  <c r="L90" i="2"/>
  <c r="K90" i="2"/>
  <c r="E90" i="2"/>
  <c r="J87" i="2"/>
  <c r="L86" i="2"/>
  <c r="J86" i="2" s="1"/>
  <c r="L85" i="2"/>
  <c r="J85" i="2" s="1"/>
  <c r="J83" i="2"/>
  <c r="L82" i="2"/>
  <c r="J82" i="2" s="1"/>
  <c r="J81" i="2"/>
  <c r="J80" i="2"/>
  <c r="J79" i="2"/>
  <c r="L78" i="2"/>
  <c r="C4" i="3" s="1"/>
  <c r="L77" i="2"/>
  <c r="J77" i="2" s="1"/>
  <c r="L76" i="2"/>
  <c r="M75" i="2"/>
  <c r="M73" i="2" s="1"/>
  <c r="J75" i="2"/>
  <c r="J74" i="2"/>
  <c r="K73" i="2"/>
  <c r="H73" i="2"/>
  <c r="G73" i="2"/>
  <c r="F73" i="2"/>
  <c r="E73" i="2"/>
  <c r="L72" i="2"/>
  <c r="N71" i="2"/>
  <c r="M71" i="2"/>
  <c r="K71" i="2"/>
  <c r="H71" i="2"/>
  <c r="G71" i="2"/>
  <c r="F71" i="2"/>
  <c r="E71" i="2"/>
  <c r="K69" i="2"/>
  <c r="J69" i="2"/>
  <c r="H69" i="2"/>
  <c r="G69" i="2"/>
  <c r="F69" i="2"/>
  <c r="E69" i="2"/>
  <c r="J68" i="2"/>
  <c r="N67" i="2"/>
  <c r="M67" i="2"/>
  <c r="L67" i="2"/>
  <c r="J67" i="2" s="1"/>
  <c r="N66" i="2"/>
  <c r="M66" i="2"/>
  <c r="L66" i="2"/>
  <c r="J65" i="2"/>
  <c r="J64" i="2"/>
  <c r="J63" i="2"/>
  <c r="J62" i="2"/>
  <c r="J61" i="2"/>
  <c r="K60" i="2"/>
  <c r="H60" i="2"/>
  <c r="G60" i="2"/>
  <c r="F60" i="2"/>
  <c r="E60" i="2"/>
  <c r="L59" i="2"/>
  <c r="J58" i="2"/>
  <c r="J57" i="2"/>
  <c r="J56" i="2"/>
  <c r="M55" i="2"/>
  <c r="K55" i="2"/>
  <c r="H55" i="2"/>
  <c r="G55" i="2"/>
  <c r="F55" i="2"/>
  <c r="E55" i="2"/>
  <c r="N54" i="2"/>
  <c r="M54" i="2"/>
  <c r="N53" i="2"/>
  <c r="M53" i="2"/>
  <c r="L53" i="2"/>
  <c r="J53" i="2" s="1"/>
  <c r="L52" i="2"/>
  <c r="AA51" i="2"/>
  <c r="K51" i="2"/>
  <c r="H51" i="2"/>
  <c r="G51" i="2"/>
  <c r="F51" i="2"/>
  <c r="E51" i="2"/>
  <c r="AA50" i="2"/>
  <c r="L50" i="2"/>
  <c r="J50" i="2" s="1"/>
  <c r="J49" i="2" s="1"/>
  <c r="AD49" i="2"/>
  <c r="AA49" i="2"/>
  <c r="M49" i="2"/>
  <c r="K49" i="2"/>
  <c r="H49" i="2"/>
  <c r="G49" i="2"/>
  <c r="F49" i="2"/>
  <c r="E49" i="2"/>
  <c r="M48" i="2"/>
  <c r="M47" i="2"/>
  <c r="L47" i="2"/>
  <c r="J47" i="2" s="1"/>
  <c r="AA45" i="2"/>
  <c r="J45" i="2"/>
  <c r="AJ44" i="2"/>
  <c r="AE44" i="2"/>
  <c r="AA44" i="2"/>
  <c r="AA43" i="2"/>
  <c r="K43" i="2"/>
  <c r="H43" i="2"/>
  <c r="G43" i="2"/>
  <c r="F43" i="2"/>
  <c r="E43" i="2"/>
  <c r="AF42" i="2"/>
  <c r="AA42" i="2"/>
  <c r="J42" i="2"/>
  <c r="AF41" i="2"/>
  <c r="AA41" i="2"/>
  <c r="M41" i="2"/>
  <c r="M40" i="2" s="1"/>
  <c r="J41" i="2"/>
  <c r="AF40" i="2"/>
  <c r="AA40" i="2"/>
  <c r="K40" i="2"/>
  <c r="H40" i="2"/>
  <c r="G40" i="2"/>
  <c r="F40" i="2"/>
  <c r="E40" i="2"/>
  <c r="N34" i="2"/>
  <c r="M34" i="2"/>
  <c r="AF33" i="2"/>
  <c r="AA33" i="2"/>
  <c r="AF32" i="2"/>
  <c r="AA32" i="2"/>
  <c r="M32" i="2"/>
  <c r="J32" i="2"/>
  <c r="AF31" i="2"/>
  <c r="AA31" i="2"/>
  <c r="N31" i="2"/>
  <c r="M31" i="2"/>
  <c r="L31" i="2"/>
  <c r="J31" i="2" s="1"/>
  <c r="AF30" i="2"/>
  <c r="AA30" i="2"/>
  <c r="L30" i="2"/>
  <c r="J30" i="2" s="1"/>
  <c r="AF29" i="2"/>
  <c r="AA29" i="2"/>
  <c r="N29" i="2"/>
  <c r="M29" i="2"/>
  <c r="AJ28" i="2"/>
  <c r="AJ29" i="2" s="1"/>
  <c r="AF28" i="2"/>
  <c r="AD28" i="2"/>
  <c r="AA28" i="2"/>
  <c r="L28" i="2"/>
  <c r="J28" i="2" s="1"/>
  <c r="J27" i="2"/>
  <c r="L26" i="2"/>
  <c r="J26" i="2" s="1"/>
  <c r="AA24" i="2"/>
  <c r="AF24" i="2" s="1"/>
  <c r="L24" i="2"/>
  <c r="K21" i="2"/>
  <c r="H21" i="2"/>
  <c r="G21" i="2"/>
  <c r="F21" i="2"/>
  <c r="E21" i="2"/>
  <c r="Z20" i="2"/>
  <c r="M20" i="2"/>
  <c r="M19" i="2" s="1"/>
  <c r="AA19" i="2"/>
  <c r="AF19" i="2" s="1"/>
  <c r="K19" i="2"/>
  <c r="H19" i="2"/>
  <c r="G19" i="2"/>
  <c r="F19" i="2"/>
  <c r="E19" i="2"/>
  <c r="AA18" i="2"/>
  <c r="AF18" i="2" s="1"/>
  <c r="AD17" i="2"/>
  <c r="AA17" i="2"/>
  <c r="AF17" i="2" s="1"/>
  <c r="N17" i="2"/>
  <c r="M17" i="2"/>
  <c r="L17" i="2"/>
  <c r="J17" i="2" s="1"/>
  <c r="AA16" i="2"/>
  <c r="AE16" i="2" s="1"/>
  <c r="N16" i="2"/>
  <c r="M16" i="2"/>
  <c r="AA14" i="2"/>
  <c r="AF14" i="2" s="1"/>
  <c r="K14" i="2"/>
  <c r="H14" i="2"/>
  <c r="G14" i="2"/>
  <c r="F14" i="2"/>
  <c r="E14" i="2"/>
  <c r="AA15" i="2"/>
  <c r="AE15" i="2" s="1"/>
  <c r="N15" i="2"/>
  <c r="AA13" i="2"/>
  <c r="AF13" i="2" s="1"/>
  <c r="N13" i="2"/>
  <c r="N12" i="2" s="1"/>
  <c r="M13" i="2"/>
  <c r="AA12" i="2"/>
  <c r="AF12" i="2" s="1"/>
  <c r="L12" i="2"/>
  <c r="K12" i="2"/>
  <c r="J12" i="2"/>
  <c r="H12" i="2"/>
  <c r="G12" i="2"/>
  <c r="F12" i="2"/>
  <c r="E12" i="2"/>
  <c r="AA11" i="2"/>
  <c r="AE11" i="2" s="1"/>
  <c r="AD10" i="2"/>
  <c r="AA10" i="2"/>
  <c r="L10" i="2"/>
  <c r="J10" i="2"/>
  <c r="L9" i="2"/>
  <c r="J9" i="2"/>
  <c r="K8" i="2"/>
  <c r="H8" i="2"/>
  <c r="G8" i="2"/>
  <c r="F8" i="2"/>
  <c r="E8" i="2"/>
  <c r="G230" i="1"/>
  <c r="I218" i="1"/>
  <c r="I217" i="1" s="1"/>
  <c r="I216" i="1" s="1"/>
  <c r="H218" i="1"/>
  <c r="H217" i="1" s="1"/>
  <c r="H216" i="1" s="1"/>
  <c r="G217" i="1"/>
  <c r="G216" i="1" s="1"/>
  <c r="F217" i="1"/>
  <c r="F216" i="1" s="1"/>
  <c r="E217" i="1"/>
  <c r="E216" i="1" s="1"/>
  <c r="I212" i="1"/>
  <c r="I211" i="1"/>
  <c r="J210" i="1"/>
  <c r="I210" i="1" s="1"/>
  <c r="I209" i="1"/>
  <c r="H209" i="1"/>
  <c r="H207" i="1" s="1"/>
  <c r="J207" i="1"/>
  <c r="G207" i="1"/>
  <c r="F207" i="1"/>
  <c r="E207" i="1"/>
  <c r="I201" i="1"/>
  <c r="I200" i="1"/>
  <c r="E200" i="1"/>
  <c r="E199" i="1" s="1"/>
  <c r="J199" i="1"/>
  <c r="H199" i="1"/>
  <c r="G199" i="1"/>
  <c r="F199" i="1"/>
  <c r="J198" i="1"/>
  <c r="I198" i="1" s="1"/>
  <c r="N197" i="1"/>
  <c r="J197" i="1"/>
  <c r="I197" i="1" s="1"/>
  <c r="N196" i="1"/>
  <c r="H196" i="1"/>
  <c r="G196" i="1"/>
  <c r="F196" i="1"/>
  <c r="E196" i="1"/>
  <c r="N195" i="1"/>
  <c r="N194" i="1"/>
  <c r="J194" i="1"/>
  <c r="I194" i="1" s="1"/>
  <c r="N193" i="1"/>
  <c r="J193" i="1"/>
  <c r="I193" i="1" s="1"/>
  <c r="H192" i="1"/>
  <c r="G192" i="1"/>
  <c r="F192" i="1"/>
  <c r="E192" i="1"/>
  <c r="N191" i="1"/>
  <c r="J191" i="1"/>
  <c r="I191" i="1" s="1"/>
  <c r="J190" i="1"/>
  <c r="I190" i="1"/>
  <c r="I188" i="1"/>
  <c r="H188" i="1"/>
  <c r="J187" i="1"/>
  <c r="I187" i="1" s="1"/>
  <c r="I186" i="1"/>
  <c r="N185" i="1"/>
  <c r="I185" i="1"/>
  <c r="J184" i="1"/>
  <c r="I184" i="1" s="1"/>
  <c r="I183" i="1"/>
  <c r="J182" i="1"/>
  <c r="I182" i="1" s="1"/>
  <c r="N180" i="1"/>
  <c r="J181" i="1" s="1"/>
  <c r="I181" i="1" s="1"/>
  <c r="J180" i="1"/>
  <c r="I180" i="1" s="1"/>
  <c r="J179" i="1"/>
  <c r="I179" i="1" s="1"/>
  <c r="J178" i="1"/>
  <c r="I178" i="1" s="1"/>
  <c r="H177" i="1"/>
  <c r="G177" i="1"/>
  <c r="G176" i="1" s="1"/>
  <c r="F177" i="1"/>
  <c r="F176" i="1" s="1"/>
  <c r="E177" i="1"/>
  <c r="E176" i="1" s="1"/>
  <c r="E175" i="1"/>
  <c r="J173" i="1"/>
  <c r="I173" i="1"/>
  <c r="H173" i="1"/>
  <c r="G173" i="1"/>
  <c r="F173" i="1"/>
  <c r="E173" i="1"/>
  <c r="J172" i="1"/>
  <c r="J171" i="1" s="1"/>
  <c r="H171" i="1"/>
  <c r="G171" i="1"/>
  <c r="F171" i="1"/>
  <c r="E171" i="1"/>
  <c r="J169" i="1"/>
  <c r="I169" i="1"/>
  <c r="H169" i="1"/>
  <c r="G169" i="1"/>
  <c r="F169" i="1"/>
  <c r="E169" i="1"/>
  <c r="I168" i="1"/>
  <c r="L167" i="1"/>
  <c r="I167" i="1"/>
  <c r="J166" i="1"/>
  <c r="H166" i="1"/>
  <c r="G166" i="1"/>
  <c r="F166" i="1"/>
  <c r="E166" i="1"/>
  <c r="L163" i="1"/>
  <c r="H162" i="1"/>
  <c r="G162" i="1"/>
  <c r="F162" i="1"/>
  <c r="E162" i="1"/>
  <c r="J161" i="1"/>
  <c r="J159" i="1" s="1"/>
  <c r="I160" i="1"/>
  <c r="H159" i="1"/>
  <c r="G159" i="1"/>
  <c r="F159" i="1"/>
  <c r="E159" i="1"/>
  <c r="J158" i="1"/>
  <c r="H157" i="1"/>
  <c r="G157" i="1"/>
  <c r="F157" i="1"/>
  <c r="E157" i="1"/>
  <c r="I156" i="1"/>
  <c r="I155" i="1"/>
  <c r="J154" i="1"/>
  <c r="I154" i="1" s="1"/>
  <c r="E154" i="1"/>
  <c r="E151" i="1" s="1"/>
  <c r="I153" i="1"/>
  <c r="J152" i="1"/>
  <c r="H151" i="1"/>
  <c r="G151" i="1"/>
  <c r="F151" i="1"/>
  <c r="J150" i="1"/>
  <c r="I150" i="1" s="1"/>
  <c r="J149" i="1"/>
  <c r="I149" i="1" s="1"/>
  <c r="I148" i="1"/>
  <c r="H147" i="1"/>
  <c r="G147" i="1"/>
  <c r="F147" i="1"/>
  <c r="E147" i="1"/>
  <c r="J146" i="1"/>
  <c r="I145" i="1"/>
  <c r="J144" i="1"/>
  <c r="I144" i="1" s="1"/>
  <c r="I143" i="1" s="1"/>
  <c r="H143" i="1"/>
  <c r="G143" i="1"/>
  <c r="F143" i="1"/>
  <c r="E143" i="1"/>
  <c r="J142" i="1"/>
  <c r="I142" i="1" s="1"/>
  <c r="I141" i="1" s="1"/>
  <c r="H141" i="1"/>
  <c r="G141" i="1"/>
  <c r="F141" i="1"/>
  <c r="E141" i="1"/>
  <c r="J140" i="1"/>
  <c r="I140" i="1" s="1"/>
  <c r="H140" i="1"/>
  <c r="H136" i="1" s="1"/>
  <c r="J139" i="1"/>
  <c r="I139" i="1" s="1"/>
  <c r="J138" i="1"/>
  <c r="I138" i="1" s="1"/>
  <c r="J137" i="1"/>
  <c r="J15" i="1" s="1"/>
  <c r="I15" i="1" s="1"/>
  <c r="I137" i="1"/>
  <c r="G136" i="1"/>
  <c r="F136" i="1"/>
  <c r="E136" i="1"/>
  <c r="J134" i="1"/>
  <c r="I134" i="1"/>
  <c r="H134" i="1"/>
  <c r="G134" i="1"/>
  <c r="F134" i="1"/>
  <c r="E134" i="1"/>
  <c r="I132" i="1"/>
  <c r="K131" i="1"/>
  <c r="I131" i="1"/>
  <c r="I129" i="1"/>
  <c r="J128" i="1"/>
  <c r="H128" i="1"/>
  <c r="G128" i="1"/>
  <c r="F128" i="1"/>
  <c r="E128" i="1"/>
  <c r="M128" i="1" s="1"/>
  <c r="J127" i="1"/>
  <c r="I127" i="1"/>
  <c r="I126" i="1" s="1"/>
  <c r="J126" i="1"/>
  <c r="H126" i="1"/>
  <c r="G126" i="1"/>
  <c r="F126" i="1"/>
  <c r="E126" i="1"/>
  <c r="K126" i="1" s="1"/>
  <c r="J125" i="1"/>
  <c r="I125" i="1" s="1"/>
  <c r="I124" i="1"/>
  <c r="J123" i="1"/>
  <c r="I123" i="1"/>
  <c r="J122" i="1"/>
  <c r="I122" i="1" s="1"/>
  <c r="J121" i="1"/>
  <c r="I121" i="1" s="1"/>
  <c r="J120" i="1"/>
  <c r="I120" i="1"/>
  <c r="J119" i="1"/>
  <c r="H118" i="1"/>
  <c r="G118" i="1"/>
  <c r="F118" i="1"/>
  <c r="E118" i="1"/>
  <c r="J117" i="1"/>
  <c r="I117" i="1" s="1"/>
  <c r="I116" i="1"/>
  <c r="I115" i="1"/>
  <c r="H114" i="1"/>
  <c r="G114" i="1"/>
  <c r="F114" i="1"/>
  <c r="E114" i="1"/>
  <c r="J113" i="1"/>
  <c r="I113" i="1"/>
  <c r="I112" i="1"/>
  <c r="J111" i="1"/>
  <c r="I111" i="1" s="1"/>
  <c r="J110" i="1"/>
  <c r="I110" i="1" s="1"/>
  <c r="H109" i="1"/>
  <c r="G109" i="1"/>
  <c r="F109" i="1"/>
  <c r="E109" i="1"/>
  <c r="J108" i="1"/>
  <c r="I108" i="1" s="1"/>
  <c r="I107" i="1"/>
  <c r="I106" i="1"/>
  <c r="J105" i="1"/>
  <c r="I105" i="1" s="1"/>
  <c r="I104" i="1"/>
  <c r="J103" i="1"/>
  <c r="I103" i="1" s="1"/>
  <c r="H102" i="1"/>
  <c r="G102" i="1"/>
  <c r="F102" i="1"/>
  <c r="E102" i="1"/>
  <c r="J97" i="1"/>
  <c r="I97" i="1" s="1"/>
  <c r="J96" i="1"/>
  <c r="I96" i="1" s="1"/>
  <c r="J95" i="1"/>
  <c r="J94" i="1" s="1"/>
  <c r="H94" i="1"/>
  <c r="G94" i="1"/>
  <c r="F94" i="1"/>
  <c r="E94" i="1"/>
  <c r="I93" i="1"/>
  <c r="I92" i="1"/>
  <c r="I91" i="1"/>
  <c r="I90" i="1"/>
  <c r="I89" i="1"/>
  <c r="I88" i="1"/>
  <c r="I87" i="1"/>
  <c r="I86" i="1"/>
  <c r="I85" i="1"/>
  <c r="J84" i="1"/>
  <c r="H84" i="1"/>
  <c r="G84" i="1"/>
  <c r="G83" i="1" s="1"/>
  <c r="F84" i="1"/>
  <c r="E84" i="1"/>
  <c r="E83" i="1" s="1"/>
  <c r="I79" i="1"/>
  <c r="J78" i="1"/>
  <c r="I78" i="1" s="1"/>
  <c r="J77" i="1"/>
  <c r="I77" i="1" s="1"/>
  <c r="J76" i="1"/>
  <c r="I76" i="1" s="1"/>
  <c r="I75" i="1"/>
  <c r="I74" i="1"/>
  <c r="I73" i="1"/>
  <c r="I72" i="1"/>
  <c r="I71" i="1"/>
  <c r="J70" i="1"/>
  <c r="I70" i="1" s="1"/>
  <c r="J69" i="1"/>
  <c r="I69" i="1" s="1"/>
  <c r="J68" i="1"/>
  <c r="I68" i="1" s="1"/>
  <c r="I67" i="1"/>
  <c r="I66" i="1"/>
  <c r="J65" i="1"/>
  <c r="H65" i="1"/>
  <c r="G65" i="1"/>
  <c r="F65" i="1"/>
  <c r="E65" i="1"/>
  <c r="J64" i="1"/>
  <c r="I64" i="1"/>
  <c r="I63" i="1" s="1"/>
  <c r="J63" i="1"/>
  <c r="H63" i="1"/>
  <c r="G63" i="1"/>
  <c r="F63" i="1"/>
  <c r="E63" i="1"/>
  <c r="E61" i="1"/>
  <c r="I60" i="1"/>
  <c r="J59" i="1"/>
  <c r="I59" i="1" s="1"/>
  <c r="J58" i="1"/>
  <c r="J52" i="1" s="1"/>
  <c r="I57" i="1"/>
  <c r="I56" i="1"/>
  <c r="I55" i="1"/>
  <c r="I54" i="1"/>
  <c r="I53" i="1"/>
  <c r="N52" i="1"/>
  <c r="J51" i="1" s="1"/>
  <c r="I51" i="1" s="1"/>
  <c r="H52" i="1"/>
  <c r="G52" i="1"/>
  <c r="F52" i="1"/>
  <c r="E52" i="1"/>
  <c r="I50" i="1"/>
  <c r="I49" i="1"/>
  <c r="I48" i="1"/>
  <c r="H47" i="1"/>
  <c r="G47" i="1"/>
  <c r="F47" i="1"/>
  <c r="E47" i="1"/>
  <c r="J45" i="1"/>
  <c r="I45" i="1" s="1"/>
  <c r="J44" i="1"/>
  <c r="I44" i="1" s="1"/>
  <c r="N43" i="1"/>
  <c r="H43" i="1"/>
  <c r="G43" i="1"/>
  <c r="F43" i="1"/>
  <c r="E43" i="1"/>
  <c r="N42" i="1"/>
  <c r="J42" i="1"/>
  <c r="I42" i="1" s="1"/>
  <c r="I41" i="1" s="1"/>
  <c r="Q41" i="1"/>
  <c r="N41" i="1"/>
  <c r="S41" i="1" s="1"/>
  <c r="H41" i="1"/>
  <c r="G41" i="1"/>
  <c r="F41" i="1"/>
  <c r="E41" i="1"/>
  <c r="J40" i="1"/>
  <c r="I40" i="1" s="1"/>
  <c r="J39" i="1"/>
  <c r="I39" i="1"/>
  <c r="N38" i="1"/>
  <c r="I38" i="1"/>
  <c r="W37" i="1"/>
  <c r="R37" i="1"/>
  <c r="N37" i="1"/>
  <c r="J37" i="1"/>
  <c r="N36" i="1"/>
  <c r="H36" i="1"/>
  <c r="G36" i="1"/>
  <c r="F36" i="1"/>
  <c r="E36" i="1"/>
  <c r="S35" i="1"/>
  <c r="N35" i="1"/>
  <c r="I35" i="1"/>
  <c r="S34" i="1"/>
  <c r="N34" i="1"/>
  <c r="I34" i="1"/>
  <c r="S33" i="1"/>
  <c r="N33" i="1"/>
  <c r="J33" i="1"/>
  <c r="H33" i="1"/>
  <c r="G33" i="1"/>
  <c r="F33" i="1"/>
  <c r="E33" i="1"/>
  <c r="S32" i="1"/>
  <c r="N32" i="1"/>
  <c r="J32" i="1"/>
  <c r="I32" i="1" s="1"/>
  <c r="S31" i="1"/>
  <c r="N31" i="1"/>
  <c r="J31" i="1"/>
  <c r="I31" i="1" s="1"/>
  <c r="S30" i="1"/>
  <c r="N30" i="1"/>
  <c r="J30" i="1"/>
  <c r="I30" i="1" s="1"/>
  <c r="S29" i="1"/>
  <c r="N29" i="1"/>
  <c r="J29" i="1"/>
  <c r="I29" i="1"/>
  <c r="S28" i="1"/>
  <c r="N28" i="1"/>
  <c r="W27" i="1"/>
  <c r="W28" i="1" s="1"/>
  <c r="S27" i="1"/>
  <c r="Q27" i="1"/>
  <c r="N27" i="1"/>
  <c r="J27" i="1"/>
  <c r="I27" i="1" s="1"/>
  <c r="I26" i="1"/>
  <c r="J25" i="1"/>
  <c r="I25" i="1" s="1"/>
  <c r="N23" i="1"/>
  <c r="S23" i="1" s="1"/>
  <c r="J23" i="1"/>
  <c r="I23" i="1" s="1"/>
  <c r="J22" i="1"/>
  <c r="I22" i="1" s="1"/>
  <c r="H20" i="1"/>
  <c r="G20" i="1"/>
  <c r="F20" i="1"/>
  <c r="E20" i="1"/>
  <c r="M19" i="1"/>
  <c r="J19" i="1"/>
  <c r="J18" i="1" s="1"/>
  <c r="N18" i="1"/>
  <c r="R18" i="1" s="1"/>
  <c r="H18" i="1"/>
  <c r="G18" i="1"/>
  <c r="F18" i="1"/>
  <c r="E18" i="1"/>
  <c r="N17" i="1"/>
  <c r="R17" i="1" s="1"/>
  <c r="J17" i="1"/>
  <c r="I17" i="1" s="1"/>
  <c r="Q16" i="1"/>
  <c r="N16" i="1"/>
  <c r="R16" i="1" s="1"/>
  <c r="J16" i="1"/>
  <c r="I16" i="1" s="1"/>
  <c r="N15" i="1"/>
  <c r="R15" i="1" s="1"/>
  <c r="N14" i="1"/>
  <c r="S14" i="1" s="1"/>
  <c r="H14" i="1"/>
  <c r="G14" i="1"/>
  <c r="G11" i="1" s="1"/>
  <c r="G7" i="1" s="1"/>
  <c r="G6" i="1" s="1"/>
  <c r="G5" i="1" s="1"/>
  <c r="F14" i="1"/>
  <c r="E14" i="1"/>
  <c r="N13" i="1"/>
  <c r="S13" i="1" s="1"/>
  <c r="N12" i="1"/>
  <c r="R12" i="1" s="1"/>
  <c r="J12" i="1"/>
  <c r="I12" i="1"/>
  <c r="H12" i="1"/>
  <c r="H11" i="1" s="1"/>
  <c r="G12" i="1"/>
  <c r="F12" i="1"/>
  <c r="F11" i="1" s="1"/>
  <c r="E12" i="1"/>
  <c r="N11" i="1"/>
  <c r="S11" i="1" s="1"/>
  <c r="N10" i="1"/>
  <c r="S10" i="1" s="1"/>
  <c r="J10" i="1"/>
  <c r="I10" i="1"/>
  <c r="Q9" i="1"/>
  <c r="N9" i="1"/>
  <c r="J9" i="1"/>
  <c r="I9" i="1"/>
  <c r="H8" i="1"/>
  <c r="G8" i="1"/>
  <c r="F8" i="1"/>
  <c r="E8" i="1"/>
  <c r="H83" i="1" l="1"/>
  <c r="I196" i="1"/>
  <c r="I207" i="1"/>
  <c r="I158" i="1"/>
  <c r="I157" i="1" s="1"/>
  <c r="J157" i="1"/>
  <c r="G133" i="1"/>
  <c r="G100" i="1" s="1"/>
  <c r="G99" i="1" s="1"/>
  <c r="G98" i="1" s="1"/>
  <c r="G215" i="1" s="1"/>
  <c r="G219" i="1" s="1"/>
  <c r="H7" i="1"/>
  <c r="H6" i="1" s="1"/>
  <c r="S17" i="1"/>
  <c r="J83" i="1"/>
  <c r="J114" i="1"/>
  <c r="K114" i="1" s="1"/>
  <c r="I128" i="1"/>
  <c r="I166" i="1"/>
  <c r="J189" i="1"/>
  <c r="I189" i="1" s="1"/>
  <c r="I8" i="1"/>
  <c r="J118" i="1"/>
  <c r="J8" i="1"/>
  <c r="N21" i="2"/>
  <c r="E7" i="1"/>
  <c r="E6" i="1" s="1"/>
  <c r="E5" i="1" s="1"/>
  <c r="M102" i="1"/>
  <c r="E11" i="1"/>
  <c r="G101" i="1"/>
  <c r="J151" i="1"/>
  <c r="I172" i="1"/>
  <c r="I171" i="1" s="1"/>
  <c r="I58" i="1"/>
  <c r="I52" i="1" s="1"/>
  <c r="J143" i="1"/>
  <c r="L143" i="1" s="1"/>
  <c r="B6" i="3"/>
  <c r="S71" i="2"/>
  <c r="N51" i="2"/>
  <c r="S51" i="2" s="1"/>
  <c r="N60" i="2"/>
  <c r="S60" i="2" s="1"/>
  <c r="N228" i="2"/>
  <c r="N227" i="2" s="1"/>
  <c r="N14" i="2"/>
  <c r="N11" i="2" s="1"/>
  <c r="S11" i="2" s="1"/>
  <c r="S163" i="2" s="1"/>
  <c r="H133" i="1"/>
  <c r="J192" i="1"/>
  <c r="N19" i="1"/>
  <c r="I20" i="1"/>
  <c r="I95" i="1"/>
  <c r="I94" i="1" s="1"/>
  <c r="F133" i="1"/>
  <c r="I33" i="1"/>
  <c r="J163" i="1"/>
  <c r="I163" i="1" s="1"/>
  <c r="I162" i="1" s="1"/>
  <c r="J14" i="1"/>
  <c r="J11" i="1" s="1"/>
  <c r="I84" i="1"/>
  <c r="E101" i="1"/>
  <c r="I152" i="1"/>
  <c r="I37" i="1" s="1"/>
  <c r="J218" i="1"/>
  <c r="J217" i="1" s="1"/>
  <c r="J216" i="1" s="1"/>
  <c r="S15" i="1"/>
  <c r="N93" i="2"/>
  <c r="S93" i="2" s="1"/>
  <c r="J36" i="1"/>
  <c r="S12" i="1"/>
  <c r="S18" i="1"/>
  <c r="F101" i="1"/>
  <c r="I114" i="1"/>
  <c r="H176" i="1"/>
  <c r="I47" i="1"/>
  <c r="I109" i="1"/>
  <c r="E133" i="1"/>
  <c r="I136" i="1"/>
  <c r="I133" i="1" s="1"/>
  <c r="J147" i="1"/>
  <c r="S142" i="2"/>
  <c r="S125" i="2" s="1"/>
  <c r="F7" i="1"/>
  <c r="F6" i="1" s="1"/>
  <c r="F83" i="1"/>
  <c r="H101" i="1"/>
  <c r="H100" i="1" s="1"/>
  <c r="H99" i="1" s="1"/>
  <c r="H98" i="1" s="1"/>
  <c r="I199" i="1"/>
  <c r="L60" i="2"/>
  <c r="L8" i="2"/>
  <c r="J182" i="2"/>
  <c r="J44" i="2" s="1"/>
  <c r="J43" i="2" s="1"/>
  <c r="L181" i="2"/>
  <c r="J247" i="2"/>
  <c r="J246" i="2" s="1"/>
  <c r="L246" i="2"/>
  <c r="J59" i="2"/>
  <c r="J55" i="2" s="1"/>
  <c r="L55" i="2"/>
  <c r="J134" i="2"/>
  <c r="L133" i="2"/>
  <c r="T133" i="2" s="1"/>
  <c r="J139" i="2"/>
  <c r="J138" i="2" s="1"/>
  <c r="L138" i="2"/>
  <c r="T138" i="2" s="1"/>
  <c r="J198" i="2"/>
  <c r="J197" i="2" s="1"/>
  <c r="L197" i="2"/>
  <c r="J252" i="2"/>
  <c r="J146" i="2"/>
  <c r="J142" i="2" s="1"/>
  <c r="L142" i="2"/>
  <c r="T142" i="2" s="1"/>
  <c r="J167" i="2"/>
  <c r="J165" i="2" s="1"/>
  <c r="J162" i="2" s="1"/>
  <c r="J156" i="2" s="1"/>
  <c r="L165" i="2"/>
  <c r="J231" i="2"/>
  <c r="J24" i="2"/>
  <c r="J21" i="2" s="1"/>
  <c r="L21" i="2"/>
  <c r="L73" i="2"/>
  <c r="J178" i="2"/>
  <c r="J176" i="2" s="1"/>
  <c r="L176" i="2"/>
  <c r="J194" i="2"/>
  <c r="J193" i="2" s="1"/>
  <c r="L193" i="2"/>
  <c r="J251" i="2"/>
  <c r="L250" i="2"/>
  <c r="Y249" i="2" s="1"/>
  <c r="J72" i="2"/>
  <c r="J71" i="2" s="1"/>
  <c r="L71" i="2"/>
  <c r="J130" i="2"/>
  <c r="L126" i="2"/>
  <c r="J192" i="2"/>
  <c r="J190" i="2" s="1"/>
  <c r="L190" i="2"/>
  <c r="J52" i="2"/>
  <c r="L174" i="2"/>
  <c r="L173" i="2" s="1"/>
  <c r="M125" i="2"/>
  <c r="M21" i="2"/>
  <c r="H227" i="2"/>
  <c r="M51" i="2"/>
  <c r="E101" i="2"/>
  <c r="M60" i="2"/>
  <c r="H125" i="2"/>
  <c r="G101" i="2"/>
  <c r="G93" i="2" s="1"/>
  <c r="G90" i="2" s="1"/>
  <c r="K133" i="2"/>
  <c r="K125" i="2" s="1"/>
  <c r="L44" i="2"/>
  <c r="E227" i="2"/>
  <c r="T102" i="2"/>
  <c r="J155" i="2"/>
  <c r="J152" i="2" s="1"/>
  <c r="G227" i="2"/>
  <c r="AF15" i="2"/>
  <c r="G162" i="2"/>
  <c r="G156" i="2" s="1"/>
  <c r="G11" i="2"/>
  <c r="G7" i="2" s="1"/>
  <c r="G6" i="2" s="1"/>
  <c r="C5" i="3"/>
  <c r="E125" i="2"/>
  <c r="Z133" i="2"/>
  <c r="Z138" i="2"/>
  <c r="K227" i="2"/>
  <c r="H11" i="2"/>
  <c r="H7" i="2" s="1"/>
  <c r="H6" i="2" s="1"/>
  <c r="M101" i="2"/>
  <c r="F101" i="2"/>
  <c r="F93" i="2" s="1"/>
  <c r="F90" i="2" s="1"/>
  <c r="M93" i="2"/>
  <c r="M281" i="2" s="1"/>
  <c r="N101" i="2"/>
  <c r="J102" i="2"/>
  <c r="H101" i="2"/>
  <c r="H93" i="2" s="1"/>
  <c r="H90" i="2" s="1"/>
  <c r="N124" i="2"/>
  <c r="M246" i="2"/>
  <c r="J84" i="2"/>
  <c r="C6" i="3"/>
  <c r="M207" i="2"/>
  <c r="G125" i="2"/>
  <c r="L240" i="2"/>
  <c r="J240" i="2" s="1"/>
  <c r="L16" i="2"/>
  <c r="E162" i="2"/>
  <c r="E156" i="2" s="1"/>
  <c r="J78" i="2"/>
  <c r="Z142" i="2"/>
  <c r="J151" i="2"/>
  <c r="J150" i="2" s="1"/>
  <c r="J189" i="2"/>
  <c r="J188" i="2" s="1"/>
  <c r="M219" i="2"/>
  <c r="J266" i="2"/>
  <c r="J263" i="2" s="1"/>
  <c r="M43" i="2"/>
  <c r="J66" i="2"/>
  <c r="J60" i="2" s="1"/>
  <c r="E11" i="2"/>
  <c r="E7" i="2" s="1"/>
  <c r="E6" i="2" s="1"/>
  <c r="N41" i="2"/>
  <c r="N40" i="2" s="1"/>
  <c r="S40" i="2" s="1"/>
  <c r="L49" i="2"/>
  <c r="T152" i="2"/>
  <c r="F227" i="2"/>
  <c r="M162" i="2"/>
  <c r="M156" i="2" s="1"/>
  <c r="AA20" i="2"/>
  <c r="F125" i="2"/>
  <c r="K11" i="2"/>
  <c r="K7" i="2" s="1"/>
  <c r="K6" i="2" s="1"/>
  <c r="F162" i="2"/>
  <c r="F156" i="2" s="1"/>
  <c r="Z126" i="2"/>
  <c r="M228" i="2"/>
  <c r="L54" i="2"/>
  <c r="J54" i="2" s="1"/>
  <c r="J40" i="2"/>
  <c r="AF49" i="2"/>
  <c r="L117" i="2"/>
  <c r="L101" i="2" s="1"/>
  <c r="T150" i="2"/>
  <c r="H162" i="2"/>
  <c r="H156" i="2" s="1"/>
  <c r="AF16" i="2"/>
  <c r="AF11" i="2"/>
  <c r="L18" i="2"/>
  <c r="J18" i="2" s="1"/>
  <c r="L48" i="2"/>
  <c r="J8" i="2"/>
  <c r="M15" i="2"/>
  <c r="K162" i="2"/>
  <c r="K156" i="2" s="1"/>
  <c r="F11" i="2"/>
  <c r="F7" i="2" s="1"/>
  <c r="F6" i="2" s="1"/>
  <c r="M14" i="2"/>
  <c r="K101" i="2"/>
  <c r="J132" i="2"/>
  <c r="L202" i="2"/>
  <c r="J253" i="2"/>
  <c r="I14" i="1"/>
  <c r="J162" i="1"/>
  <c r="I83" i="1"/>
  <c r="I36" i="1"/>
  <c r="I65" i="1"/>
  <c r="J117" i="2"/>
  <c r="F100" i="1"/>
  <c r="F99" i="1" s="1"/>
  <c r="F98" i="1" s="1"/>
  <c r="J232" i="2"/>
  <c r="I147" i="1"/>
  <c r="I159" i="1"/>
  <c r="I102" i="1"/>
  <c r="K118" i="1"/>
  <c r="I177" i="1"/>
  <c r="J135" i="2"/>
  <c r="I192" i="1"/>
  <c r="S16" i="1"/>
  <c r="J20" i="1"/>
  <c r="J41" i="1"/>
  <c r="M114" i="1"/>
  <c r="M118" i="1"/>
  <c r="I151" i="1"/>
  <c r="J47" i="1"/>
  <c r="J102" i="1"/>
  <c r="I119" i="1"/>
  <c r="I118" i="1" s="1"/>
  <c r="I161" i="1"/>
  <c r="J76" i="2"/>
  <c r="R9" i="1"/>
  <c r="I19" i="1"/>
  <c r="I18" i="1" s="1"/>
  <c r="AE13" i="2"/>
  <c r="AE18" i="2"/>
  <c r="AE19" i="2"/>
  <c r="S9" i="1"/>
  <c r="R13" i="1"/>
  <c r="J136" i="1"/>
  <c r="J196" i="1"/>
  <c r="L196" i="1" s="1"/>
  <c r="K128" i="1"/>
  <c r="J177" i="1"/>
  <c r="J176" i="1" s="1"/>
  <c r="J20" i="2"/>
  <c r="J19" i="2" s="1"/>
  <c r="J46" i="1"/>
  <c r="I46" i="1" s="1"/>
  <c r="I43" i="1" s="1"/>
  <c r="J109" i="1"/>
  <c r="K109" i="1" s="1"/>
  <c r="J141" i="1"/>
  <c r="R10" i="1"/>
  <c r="M109" i="1"/>
  <c r="AE10" i="2"/>
  <c r="AF10" i="2" s="1"/>
  <c r="AE17" i="2"/>
  <c r="F5" i="1" l="1"/>
  <c r="F215" i="1" s="1"/>
  <c r="F219" i="1" s="1"/>
  <c r="F221" i="1" s="1"/>
  <c r="F220" i="1" s="1"/>
  <c r="F222" i="1" s="1"/>
  <c r="H5" i="1"/>
  <c r="H215" i="1" s="1"/>
  <c r="H219" i="1" s="1"/>
  <c r="J133" i="1"/>
  <c r="E100" i="1"/>
  <c r="E99" i="1" s="1"/>
  <c r="E98" i="1" s="1"/>
  <c r="E215" i="1" s="1"/>
  <c r="E219" i="1" s="1"/>
  <c r="E221" i="1" s="1"/>
  <c r="E220" i="1" s="1"/>
  <c r="E222" i="1" s="1"/>
  <c r="J7" i="1"/>
  <c r="B4" i="3"/>
  <c r="N7" i="2"/>
  <c r="I101" i="1"/>
  <c r="J133" i="2"/>
  <c r="H124" i="2"/>
  <c r="H122" i="2" s="1"/>
  <c r="H121" i="2" s="1"/>
  <c r="J250" i="2"/>
  <c r="J51" i="2"/>
  <c r="N122" i="2"/>
  <c r="N121" i="2" s="1"/>
  <c r="S121" i="2" s="1"/>
  <c r="M12" i="2"/>
  <c r="M11" i="2" s="1"/>
  <c r="M7" i="2" s="1"/>
  <c r="M6" i="2" s="1"/>
  <c r="M5" i="2" s="1"/>
  <c r="M280" i="2" s="1"/>
  <c r="M282" i="2" s="1"/>
  <c r="L228" i="2"/>
  <c r="L227" i="2" s="1"/>
  <c r="J174" i="2"/>
  <c r="J173" i="2" s="1"/>
  <c r="L43" i="2"/>
  <c r="L125" i="2"/>
  <c r="J126" i="2"/>
  <c r="T126" i="2"/>
  <c r="Y126" i="2" s="1"/>
  <c r="J16" i="2"/>
  <c r="J14" i="2" s="1"/>
  <c r="J11" i="2" s="1"/>
  <c r="J7" i="2" s="1"/>
  <c r="L14" i="2"/>
  <c r="L11" i="2" s="1"/>
  <c r="L51" i="2"/>
  <c r="J181" i="2"/>
  <c r="M124" i="2"/>
  <c r="M122" i="2" s="1"/>
  <c r="E124" i="2"/>
  <c r="E122" i="2" s="1"/>
  <c r="E121" i="2" s="1"/>
  <c r="J228" i="2"/>
  <c r="J227" i="2" s="1"/>
  <c r="E5" i="2"/>
  <c r="B3" i="3"/>
  <c r="B2" i="3" s="1"/>
  <c r="G6" i="3" s="1"/>
  <c r="F5" i="2"/>
  <c r="K124" i="2"/>
  <c r="K122" i="2" s="1"/>
  <c r="K121" i="2" s="1"/>
  <c r="J101" i="2"/>
  <c r="J93" i="2" s="1"/>
  <c r="J90" i="2" s="1"/>
  <c r="Y173" i="2"/>
  <c r="H5" i="2"/>
  <c r="K5" i="2"/>
  <c r="G5" i="2"/>
  <c r="G124" i="2"/>
  <c r="G122" i="2" s="1"/>
  <c r="G121" i="2" s="1"/>
  <c r="J73" i="2"/>
  <c r="F124" i="2"/>
  <c r="F122" i="2" s="1"/>
  <c r="F121" i="2" s="1"/>
  <c r="C7" i="3"/>
  <c r="M227" i="2"/>
  <c r="L162" i="2"/>
  <c r="L156" i="2" s="1"/>
  <c r="T156" i="2" s="1"/>
  <c r="E4" i="1"/>
  <c r="I100" i="1"/>
  <c r="I99" i="1" s="1"/>
  <c r="I98" i="1" s="1"/>
  <c r="I176" i="1"/>
  <c r="G221" i="1"/>
  <c r="G220" i="1" s="1"/>
  <c r="G222" i="1" s="1"/>
  <c r="G4" i="1"/>
  <c r="J43" i="1"/>
  <c r="I11" i="1"/>
  <c r="I7" i="1" s="1"/>
  <c r="I6" i="1" s="1"/>
  <c r="I5" i="1" s="1"/>
  <c r="K102" i="1"/>
  <c r="L102" i="1" s="1"/>
  <c r="J101" i="1"/>
  <c r="J100" i="1" s="1"/>
  <c r="J99" i="1" s="1"/>
  <c r="J98" i="1" s="1"/>
  <c r="H221" i="1" l="1"/>
  <c r="H220" i="1" s="1"/>
  <c r="H222" i="1" s="1"/>
  <c r="H4" i="1"/>
  <c r="F4" i="1"/>
  <c r="J6" i="1"/>
  <c r="J5" i="1" s="1"/>
  <c r="J215" i="1" s="1"/>
  <c r="J219" i="1" s="1"/>
  <c r="J4" i="1" s="1"/>
  <c r="J125" i="2"/>
  <c r="J124" i="2" s="1"/>
  <c r="J122" i="2" s="1"/>
  <c r="J121" i="2" s="1"/>
  <c r="I215" i="1"/>
  <c r="I219" i="1" s="1"/>
  <c r="Z156" i="2"/>
  <c r="L281" i="2"/>
  <c r="F271" i="2"/>
  <c r="F275" i="2" s="1"/>
  <c r="F4" i="2" s="1"/>
  <c r="E271" i="2"/>
  <c r="E275" i="2" s="1"/>
  <c r="E277" i="2" s="1"/>
  <c r="E276" i="2" s="1"/>
  <c r="E278" i="2" s="1"/>
  <c r="H271" i="2"/>
  <c r="H275" i="2" s="1"/>
  <c r="H4" i="2" s="1"/>
  <c r="G271" i="2"/>
  <c r="G275" i="2" s="1"/>
  <c r="G4" i="2" s="1"/>
  <c r="C3" i="3"/>
  <c r="C2" i="3" s="1"/>
  <c r="H3" i="3" s="1"/>
  <c r="M121" i="2"/>
  <c r="M271" i="2" s="1"/>
  <c r="M275" i="2" s="1"/>
  <c r="K271" i="2"/>
  <c r="K275" i="2" s="1"/>
  <c r="K278" i="2" s="1"/>
  <c r="J6" i="2"/>
  <c r="J5" i="2" s="1"/>
  <c r="L124" i="2"/>
  <c r="L122" i="2" s="1"/>
  <c r="N6" i="2"/>
  <c r="N5" i="2" s="1"/>
  <c r="S5" i="2" s="1"/>
  <c r="L7" i="2"/>
  <c r="G3" i="3"/>
  <c r="G4" i="3"/>
  <c r="G5" i="3"/>
  <c r="G7" i="3"/>
  <c r="G8" i="3"/>
  <c r="J221" i="1"/>
  <c r="J220" i="1" s="1"/>
  <c r="J222" i="1" s="1"/>
  <c r="I221" i="1"/>
  <c r="I220" i="1" s="1"/>
  <c r="I222" i="1" s="1"/>
  <c r="I4" i="1"/>
  <c r="N271" i="2" l="1"/>
  <c r="N275" i="2" s="1"/>
  <c r="T121" i="2"/>
  <c r="F277" i="2"/>
  <c r="F276" i="2" s="1"/>
  <c r="F278" i="2" s="1"/>
  <c r="E4" i="2"/>
  <c r="G277" i="2"/>
  <c r="G276" i="2" s="1"/>
  <c r="G278" i="2" s="1"/>
  <c r="H7" i="3"/>
  <c r="H277" i="2"/>
  <c r="H276" i="2" s="1"/>
  <c r="H278" i="2" s="1"/>
  <c r="S122" i="2"/>
  <c r="L121" i="2"/>
  <c r="L6" i="2"/>
  <c r="S6" i="2" s="1"/>
  <c r="L280" i="2"/>
  <c r="L282" i="2" s="1"/>
  <c r="J271" i="2"/>
  <c r="J275" i="2" s="1"/>
  <c r="J277" i="2" s="1"/>
  <c r="J276" i="2" s="1"/>
  <c r="J278" i="2" s="1"/>
  <c r="M277" i="2"/>
  <c r="M276" i="2" s="1"/>
  <c r="M278" i="2" s="1"/>
  <c r="M4" i="2"/>
  <c r="K4" i="2"/>
  <c r="G2" i="3"/>
  <c r="H8" i="3"/>
  <c r="H5" i="3"/>
  <c r="H4" i="3"/>
  <c r="H6" i="3"/>
  <c r="S271" i="2" l="1"/>
  <c r="N4" i="2"/>
  <c r="L5" i="2"/>
  <c r="L271" i="2" s="1"/>
  <c r="L275" i="2" s="1"/>
  <c r="L4" i="2" s="1"/>
  <c r="J4" i="2"/>
  <c r="N277" i="2"/>
  <c r="N276" i="2" s="1"/>
  <c r="N278" i="2" s="1"/>
  <c r="H2" i="3"/>
  <c r="L277" i="2" l="1"/>
  <c r="S277" i="2" s="1"/>
  <c r="L276" i="2" l="1"/>
  <c r="L278" i="2" s="1"/>
  <c r="E143" i="5" l="1"/>
  <c r="I143" i="5" s="1"/>
  <c r="E160" i="5" l="1"/>
  <c r="I160" i="5" s="1"/>
  <c r="L21" i="5"/>
  <c r="O16" i="5" l="1"/>
  <c r="P16" i="5" s="1"/>
  <c r="E155" i="5" l="1"/>
  <c r="E35" i="5"/>
  <c r="E7" i="5" l="1"/>
  <c r="I35" i="5"/>
  <c r="E108" i="5"/>
  <c r="I155" i="5"/>
  <c r="E106" i="5" l="1"/>
  <c r="I108" i="5"/>
  <c r="E6" i="5"/>
  <c r="I7" i="5"/>
  <c r="E5" i="5" l="1"/>
  <c r="I6" i="5"/>
  <c r="E105" i="5"/>
  <c r="I105" i="5" s="1"/>
  <c r="I106" i="5"/>
  <c r="M21" i="5" l="1"/>
  <c r="I5" i="5"/>
  <c r="M8" i="5"/>
  <c r="P8" i="5"/>
  <c r="E245" i="5"/>
  <c r="M5" i="5"/>
  <c r="P5" i="5"/>
  <c r="M22" i="5" l="1"/>
  <c r="N21" i="5"/>
  <c r="P21" i="5" s="1"/>
  <c r="E249" i="5"/>
  <c r="I245" i="5"/>
  <c r="I249" i="5" l="1"/>
  <c r="E251" i="5"/>
  <c r="E250" i="5" l="1"/>
  <c r="I251" i="5"/>
  <c r="E252" i="5" l="1"/>
  <c r="I252" i="5" s="1"/>
  <c r="I25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Morigi Silvia</author>
    <author>De Stasi Giada</author>
    <author>Battistini Giovanni</author>
  </authors>
  <commentList>
    <comment ref="F28" authorId="0" shapeId="0" xr:uid="{D879DA11-39FE-4AC9-B138-5BDF40E709C3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progetto ZTL settore ambiente + progettino ex s.martino in fiume e ex s.egidio</t>
        </r>
      </text>
    </comment>
    <comment ref="H28" authorId="0" shapeId="0" xr:uid="{303C29BF-E484-4792-8EED-B02A86354084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progetto ZTL settore ambiente + progettino ex s.martino in fiume e ex s.egidio</t>
        </r>
      </text>
    </comment>
    <comment ref="F30" authorId="0" shapeId="0" xr:uid="{8D388B46-5F56-4043-B8E2-8F1D25589ED2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importo affidamento 32786,89
30% alla consegna elaborati e 70% emissione CRE
determina 2017 - solo progettazione (10.000€ iva inclusa)</t>
        </r>
      </text>
    </comment>
    <comment ref="H30" authorId="0" shapeId="0" xr:uid="{08E8B735-DA9A-4D93-8DFD-326AF60C73DF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importo affidamento 32786,89
30% alla consegna elaborati e 70% emissione CRE
determina 2017 - solo progettazione (10.000€ iva inclusa)</t>
        </r>
      </text>
    </comment>
    <comment ref="F42" authorId="0" shapeId="0" xr:uid="{43F4FC48-D196-4F9C-BDA0-67E57ACA2E3A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conguaglio+bollini (stimato 7000€ + 15000/1,22 per  prestazioni aggiuntive supporto tecnico proposte a montanari ad aprile)</t>
        </r>
      </text>
    </comment>
    <comment ref="H42" authorId="0" shapeId="0" xr:uid="{8CBF3F15-35CE-47C8-BEA7-6659A6585DB5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conguaglio+bollini (stimato 7000€ + 15000/1,22 per  prestazioni aggiuntive supporto tecnico proposte a montanari ad aprile)</t>
        </r>
      </text>
    </comment>
    <comment ref="E84" authorId="0" shapeId="0" xr:uid="{A299A76D-9317-4EC8-B171-3A56D2D3D8DA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Giacomoni 22/04-31/12 25.878,67 + 5.673,07 per il periodio 01/01-21/04
Fabbri 31.500,86</t>
        </r>
      </text>
    </comment>
    <comment ref="E95" authorId="0" shapeId="0" xr:uid="{A43ED4CE-C398-4416-9234-CBAF80C78AE4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tolti 3000€ per mancati ricavi Anna Frank</t>
        </r>
      </text>
    </comment>
    <comment ref="H95" authorId="0" shapeId="0" xr:uid="{15C805DB-EB14-46FA-A777-58460BA8C731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tolti 3000€ per mancati ricavi Anna Frank</t>
        </r>
      </text>
    </comment>
    <comment ref="F107" authorId="1" shapeId="0" xr:uid="{9BB940FC-E570-4209-82CB-E22B2D570F67}">
      <text>
        <r>
          <rPr>
            <b/>
            <sz val="9"/>
            <color indexed="81"/>
            <rFont val="Tahoma"/>
            <family val="2"/>
          </rPr>
          <t>De Stasi Giada:</t>
        </r>
        <r>
          <rPr>
            <sz val="9"/>
            <color indexed="81"/>
            <rFont val="Tahoma"/>
            <family val="2"/>
          </rPr>
          <t xml:space="preserve">
abbiamo aggiunto 15 k per arrivare alla differenza finale con le rimanenze di 29 k di costi a CE</t>
        </r>
      </text>
    </comment>
    <comment ref="H107" authorId="1" shapeId="0" xr:uid="{5E6C3F58-0A59-42E6-8734-AC90C8533C6C}">
      <text>
        <r>
          <rPr>
            <b/>
            <sz val="9"/>
            <color indexed="81"/>
            <rFont val="Tahoma"/>
            <family val="2"/>
          </rPr>
          <t>De Stasi Giada:</t>
        </r>
        <r>
          <rPr>
            <sz val="9"/>
            <color indexed="81"/>
            <rFont val="Tahoma"/>
            <family val="2"/>
          </rPr>
          <t xml:space="preserve">
abbiamo aggiunto 15 k per arrivare alla differenza finale con le rimanenze di 29 k di costi a CE</t>
        </r>
      </text>
    </comment>
    <comment ref="F112" authorId="0" shapeId="0" xr:uid="{995FD8D2-D1F3-4FFE-8711-B07B4583B7EE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Importi già comprensivi di manutenzione di settembre + circa 1500€ di sguazzo</t>
        </r>
      </text>
    </comment>
    <comment ref="H112" authorId="0" shapeId="0" xr:uid="{BBC12605-666B-4DEE-B875-665EB934DD24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Importi già comprensivi di manutenzione di settembre + circa 1500€ di sguazzo</t>
        </r>
      </text>
    </comment>
    <comment ref="F119" authorId="0" shapeId="0" xr:uid="{C0A3692A-F085-4818-ABFE-75B163FDBD98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241,23 per residuo contratto pesaro per adeguamento impianti a seguito di verifiche…e 17000€ per imprevisti</t>
        </r>
      </text>
    </comment>
    <comment ref="H119" authorId="0" shapeId="0" xr:uid="{960CD7A6-3C83-4E86-92EE-85EF2794643F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241,23 per residuo contratto pesaro per adeguamento impianti a seguito di verifiche…e 17000€ per imprevisti</t>
        </r>
      </text>
    </comment>
    <comment ref="F147" authorId="0" shapeId="0" xr:uid="{CB4FF578-8569-4624-84CE-EE878CAC50C9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Materiale Elfi già ordinato + 1600€ per ore già effette per 1026€</t>
        </r>
      </text>
    </comment>
    <comment ref="H147" authorId="0" shapeId="0" xr:uid="{35E7BA9A-4FA6-4E20-8FF0-9DF1475A8473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Materiale Elfi già ordinato + 1600€ per ore già effette per 1026€</t>
        </r>
      </text>
    </comment>
    <comment ref="E172" authorId="0" shapeId="0" xr:uid="{0CE0F86D-6F0F-41A6-9887-DA6FDCB35077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Contratto Rsicurezza + 11000€ di maggiori costi</t>
        </r>
      </text>
    </comment>
    <comment ref="F175" authorId="0" shapeId="0" xr:uid="{CEAB7F7A-AC0C-4562-AC32-ABD2F16298D3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Quota 10.1a 38944,74 lavori SOEL</t>
        </r>
      </text>
    </comment>
    <comment ref="H175" authorId="0" shapeId="0" xr:uid="{9CDE7B21-1BFC-4AF5-8A87-529DBECEBD1C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Quota 10.1a 38944,74 lavori SOEL</t>
        </r>
      </text>
    </comment>
    <comment ref="E225" authorId="0" shapeId="0" xr:uid="{78714A1D-6430-465D-A485-08FE7B91A343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altri 50000€??? Valutare…1225000 certi +125000 margine</t>
        </r>
      </text>
    </comment>
    <comment ref="E227" authorId="2" shapeId="0" xr:uid="{30644BCF-E8E0-4695-A761-4C3F18DFA0E8}">
      <text>
        <r>
          <rPr>
            <b/>
            <sz val="9"/>
            <color indexed="81"/>
            <rFont val="Tahoma"/>
            <family val="2"/>
          </rPr>
          <t>Battistini Giovanni:</t>
        </r>
        <r>
          <rPr>
            <sz val="9"/>
            <color indexed="81"/>
            <rFont val="Tahoma"/>
            <family val="2"/>
          </rPr>
          <t xml:space="preserve">
con nuovi investimenti:
- FV pendilina SC= 40000
LED 2024=80000
LED 2025=150000
FV Osservanza 100000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Morigi Silvia</author>
    <author>Battistini Giovanni</author>
    <author>De Stasi Giada</author>
  </authors>
  <commentList>
    <comment ref="M9" authorId="0" shapeId="0" xr:uid="{00000000-0006-0000-0100-000027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aggiornamento ISTAT su edifici esistenti + 4718,38 e per gestione nuovi edifici (Palazzo Mazzini Marinelli; Elementare San Vittore; Locali Porta Santi e Negozio ANPI)+PIAZZA LIBERTà</t>
        </r>
      </text>
    </comment>
    <comment ref="N9" authorId="0" shapeId="0" xr:uid="{00000000-0006-0000-0100-00003A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aggiornamento ISTAT su edifici esistenti + 4718,38 e per gestione nuovi edifici (Palazzo Mazzini Marinelli; Elementare San Vittore; Locali Porta Santi e Negozio ANPI)+PIAZZA LIBERTà</t>
        </r>
      </text>
    </comment>
    <comment ref="L20" authorId="0" shapeId="0" xr:uid="{00000000-0006-0000-0100-000004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Alluvione 100% + 10%
Palazzo Mazzini-Marinelli 100% + 10%</t>
        </r>
      </text>
    </comment>
    <comment ref="M20" authorId="0" shapeId="0" xr:uid="{00000000-0006-0000-0100-000028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Foro 80% impianti di climatizzazione
Foro 100% impianti elettrici e speciali</t>
        </r>
      </text>
    </comment>
    <comment ref="N20" authorId="0" shapeId="0" xr:uid="{F9841753-4C50-462E-920E-552419CF96EB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Foro 80% impianti di climatizzazione
Foro 100% impianti elettrici e speciali</t>
        </r>
      </text>
    </comment>
    <comment ref="L25" authorId="0" shapeId="0" xr:uid="{00000000-0006-0000-0100-000005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tutto fermo</t>
        </r>
      </text>
    </comment>
    <comment ref="L26" authorId="0" shapeId="0" xr:uid="{00000000-0006-0000-0100-000006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Bonci</t>
        </r>
      </text>
    </comment>
    <comment ref="L27" authorId="0" shapeId="0" xr:uid="{00000000-0006-0000-0100-000007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Considerato a 0 ma verificare con Simona per il 2024</t>
        </r>
      </text>
    </comment>
    <comment ref="L28" authorId="0" shapeId="0" xr:uid="{00000000-0006-0000-0100-000008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tutto finito. Ilaria sente con il comune se riusciamo a fatturare il residuo di prestazioni non eseguite nonl 2024</t>
        </r>
      </text>
    </comment>
    <comment ref="M29" authorId="0" shapeId="0" xr:uid="{00000000-0006-0000-0100-000029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25% della DL impianti meccanici ed elettrici</t>
        </r>
      </text>
    </comment>
    <comment ref="N29" authorId="0" shapeId="0" xr:uid="{00000000-0006-0000-0100-00003C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25% della DL impianti meccanici ed elettrici</t>
        </r>
      </text>
    </comment>
    <comment ref="R29" authorId="1" shapeId="0" xr:uid="{FB11D0AC-6E2A-4769-B19B-295F79A5D504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50% progettazione impianti - 722,46 APE</t>
        </r>
      </text>
    </comment>
    <comment ref="L30" authorId="0" shapeId="0" xr:uid="{00000000-0006-0000-0100-000009000000}">
      <text>
        <r>
          <rPr>
            <sz val="11"/>
            <color rgb="FF000000"/>
            <rFont val="Calibri"/>
            <family val="2"/>
            <charset val="1"/>
          </rPr>
          <t xml:space="preserve">Battistini Giovanni:
</t>
        </r>
        <r>
          <rPr>
            <sz val="9"/>
            <color rgb="FF000000"/>
            <rFont val="Tahoma"/>
            <family val="2"/>
            <charset val="1"/>
          </rPr>
          <t>25% dell'importo di contratto - II rata</t>
        </r>
      </text>
    </comment>
    <comment ref="L31" authorId="0" shapeId="0" xr:uid="{00000000-0006-0000-0100-00000A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Considerato il 40% dell'ncarico ma si può modificare. 
Va bene una percentuale variabile che va dal 70% al 40%)</t>
        </r>
      </text>
    </comment>
    <comment ref="L33" authorId="0" shapeId="0" xr:uid="{00000000-0006-0000-0100-00000B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 xml:space="preserve">Hub S.Egidio elettrici
</t>
        </r>
      </text>
    </comment>
    <comment ref="N33" authorId="1" shapeId="0" xr:uid="{DCD235B1-E79D-4B60-90E1-64F95000A67B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+ 19.490,00 incarico POR-FESR carducci e Media 2 ancora da fare</t>
        </r>
      </text>
    </comment>
    <comment ref="O33" authorId="1" shapeId="0" xr:uid="{473E0727-E896-46B2-9983-C174F9DC4A62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progetto ZTL settore ambiente + progettino ex s.martino in fiume e ex s.egidio</t>
        </r>
      </text>
    </comment>
    <comment ref="R33" authorId="1" shapeId="0" xr:uid="{B4BB1EC3-E38E-4356-994D-7FDBF513CBDF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progetto ZTL settore ambiente + progettino ex s.martino in fiume e ex s.egidio</t>
        </r>
      </text>
    </comment>
    <comment ref="O34" authorId="1" shapeId="0" xr:uid="{39CCA3C4-D320-4724-A715-5EB13FFB76B1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importo affidamento 32786,89
30% alla consegna elaborati e 70% emissione CRE</t>
        </r>
      </text>
    </comment>
    <comment ref="R34" authorId="1" shapeId="0" xr:uid="{12B960DE-47B2-46E2-B050-CEEE2BC13DAA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importo affidamento 32786,89
30% alla consegna elaborati e 70% emissione CRE</t>
        </r>
      </text>
    </comment>
    <comment ref="L44" authorId="0" shapeId="0" xr:uid="{00000000-0006-0000-0100-00000C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Ho inserito gli importi come da contratto, non considerando consegne e riconsegne</t>
        </r>
      </text>
    </comment>
    <comment ref="M47" authorId="0" shapeId="0" xr:uid="{00000000-0006-0000-0100-00002A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sconto montiano proposto da Michela</t>
        </r>
      </text>
    </comment>
    <comment ref="R48" authorId="1" shapeId="0" xr:uid="{0E9A2236-6EFC-4A61-824E-6FADCC6FB37B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conguaglio+bollini (stimato 7000€ + 15000/1,22 per  prestazioni aggiuntive supporto tecnico proposte a montanari ad aprile)</t>
        </r>
      </text>
    </comment>
    <comment ref="L67" authorId="0" shapeId="0" xr:uid="{00000000-0006-0000-0100-00000D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Quota lavori a misura 10.1 a 6.000€ per lavori fontana masini
Quota lavori a corpo 10.1 b 10.000€ (da fatturare)
Quote 10.3 a e b 46.000+5.572 ancora da fatturare</t>
        </r>
      </text>
    </comment>
    <comment ref="M67" authorId="0" shapeId="0" xr:uid="{00000000-0006-0000-0100-00002B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Quota 10.1a 33900 lavori gronda SOEL
Quota 10.2.b 39.934€ già fatturati a gennaio 2023
Quote 10.3 a e b 46.000+5.572</t>
        </r>
      </text>
    </comment>
    <comment ref="N67" authorId="0" shapeId="0" xr:uid="{00000000-0006-0000-0100-00003D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Quota 10.1a 33900 lavori gronda SOEL
Quota 10.2a 130000 investimento pubblica
Quota 10.2.b 39.934€ già fatturati a gennaio 2023
Quote 10.3 a e b 46.000+5.572</t>
        </r>
      </text>
    </comment>
    <comment ref="O67" authorId="0" shapeId="0" xr:uid="{17666876-D742-494D-90BE-3B9272D9FB3A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Quota 10.1a 33900 lavori gronda SOEL
Quota 10.2a 130000 investimento pubblica
Quota 10.2.b 39.934€ già fatturati a gennaio 2023
Quote 10.3 a e b 46.000+5.572</t>
        </r>
      </text>
    </comment>
    <comment ref="R67" authorId="0" shapeId="0" xr:uid="{DA250258-98D2-4ECC-B5C7-25D54853A9D8}">
      <text>
        <r>
          <rPr>
            <sz val="11"/>
            <color rgb="FF000000"/>
            <rFont val="Calibri"/>
            <family val="2"/>
            <charset val="1"/>
          </rPr>
          <t xml:space="preserve">Morigi Silvia:
non fatturabili la </t>
        </r>
        <r>
          <rPr>
            <sz val="9"/>
            <color rgb="FF000000"/>
            <rFont val="Tahoma"/>
            <family val="2"/>
            <charset val="1"/>
          </rPr>
          <t>Quota 10.2.b 39.934€ già fatturati a gennaio 2023</t>
        </r>
      </text>
    </comment>
    <comment ref="L72" authorId="0" shapeId="0" xr:uid="{00000000-0006-0000-0100-00000E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Bando partecipazione al netto della ritenuta del 4% + progetto asciugatori</t>
        </r>
      </text>
    </comment>
    <comment ref="M72" authorId="0" shapeId="0" xr:uid="{00000000-0006-0000-0100-00002C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 xml:space="preserve">di cui 32524,59  per Bando provincia Sentinelle dello spreco </t>
        </r>
      </text>
    </comment>
    <comment ref="N72" authorId="0" shapeId="0" xr:uid="{00000000-0006-0000-0100-00003E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 xml:space="preserve">di cui 32524,59  per Bando provincia Sentinelle dello spreco </t>
        </r>
      </text>
    </comment>
    <comment ref="M74" authorId="0" shapeId="0" xr:uid="{00000000-0006-0000-0100-00002D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contrato da fare</t>
        </r>
      </text>
    </comment>
    <comment ref="M75" authorId="0" shapeId="0" xr:uid="{00000000-0006-0000-0100-00002E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sconto proposto da Michela per ex materna montenovo + ele montiano che non vengono gestite per lavori</t>
        </r>
      </text>
    </comment>
    <comment ref="L76" authorId="0" shapeId="0" xr:uid="{00000000-0006-0000-0100-00000F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Rinnovo del servizio:
Bill audit 15 utenze e centrali di committenza + supporto nelle adesioni e nei rapporti con fornitori e gestori - 2,500 annui</t>
        </r>
      </text>
    </comment>
    <comment ref="L82" authorId="0" shapeId="0" xr:uid="{00000000-0006-0000-0100-000010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150 in più per il supporto per il portale SFINGE 2020</t>
        </r>
      </text>
    </comment>
    <comment ref="R84" authorId="2" shapeId="0" xr:uid="{E5AA6BA5-C616-42AB-A131-D2EB87981BA2}">
      <text>
        <r>
          <rPr>
            <b/>
            <sz val="9"/>
            <color indexed="81"/>
            <rFont val="Tahoma"/>
            <family val="2"/>
          </rPr>
          <t>Battistini Giovanni:</t>
        </r>
        <r>
          <rPr>
            <sz val="9"/>
            <color indexed="81"/>
            <rFont val="Tahoma"/>
            <family val="2"/>
          </rPr>
          <t xml:space="preserve">
rimessi i valori di budget</t>
        </r>
      </text>
    </comment>
    <comment ref="L85" authorId="0" shapeId="0" xr:uid="{00000000-0006-0000-0100-000011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Art-er
Gambettola</t>
        </r>
      </text>
    </comment>
    <comment ref="M85" authorId="0" shapeId="0" xr:uid="{00000000-0006-0000-0100-00002F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9750 ARTER</t>
        </r>
      </text>
    </comment>
    <comment ref="N85" authorId="0" shapeId="0" xr:uid="{00000000-0006-0000-0100-000040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9750 ARTER</t>
        </r>
      </text>
    </comment>
    <comment ref="O85" authorId="1" shapeId="0" xr:uid="{BEAFF9C6-4B3D-41CB-86AD-7F9097C6C1FB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ARTER+NUOVO ROVERELLA APE+NUOVO ROVERELLA FTV</t>
        </r>
      </text>
    </comment>
    <comment ref="R85" authorId="1" shapeId="0" xr:uid="{1CAFB644-3D44-4EF6-9481-14A0FB7B86D2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NUOVO ROVERELLA APE+NUOVO ROVERELLA FTV</t>
        </r>
      </text>
    </comment>
    <comment ref="L87" authorId="0" shapeId="0" xr:uid="{00000000-0006-0000-0100-000012000000}">
      <text>
        <r>
          <rPr>
            <sz val="11"/>
            <color rgb="FF000000"/>
            <rFont val="Calibri"/>
            <family val="2"/>
            <charset val="1"/>
          </rPr>
          <t xml:space="preserve">Battistini Giovanni:
</t>
        </r>
        <r>
          <rPr>
            <sz val="9"/>
            <color rgb="FF000000"/>
            <rFont val="Tahoma"/>
            <family val="2"/>
            <charset val="1"/>
          </rPr>
          <t>Attività A - 4000 anno 2023
Atività B+C - 4000 anno 2024?</t>
        </r>
      </text>
    </comment>
    <comment ref="L118" authorId="0" shapeId="0" xr:uid="{00000000-0006-0000-0100-000013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9074,15 - GSE
8632,33 - Fattura climaservice per conguaglio art 9 considerata troppo alta</t>
        </r>
      </text>
    </comment>
    <comment ref="L127" authorId="1" shapeId="0" xr:uid="{5FB57CF6-AE36-4BE9-A4D7-72AB2386246F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economia di Lukasz</t>
        </r>
      </text>
    </comment>
    <comment ref="R127" authorId="1" shapeId="0" xr:uid="{668A4C1A-3506-4104-B1BB-1C682AEAA59A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Contratto mordenti + nuovo contratto ottobre-dicembre</t>
        </r>
      </text>
    </comment>
    <comment ref="R128" authorId="1" shapeId="0" xr:uid="{1F1943B9-5A2C-4DC8-B4CD-0C6B4066DABF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Importi già comprensivi di manutenzione di settembre + circa 1500€ di sguazzo</t>
        </r>
      </text>
    </comment>
    <comment ref="L132" authorId="0" shapeId="0" xr:uid="{00000000-0006-0000-0100-000014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9000 hub s.egidio e altri quartieri
5000 per lavori Pesaro a seguito delle verifiche
3000 Elfi</t>
        </r>
      </text>
    </comment>
    <comment ref="L136" authorId="0" shapeId="0" xr:uid="{00000000-0006-0000-0100-000015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 xml:space="preserve">accorpato nel contratto globale AUSL </t>
        </r>
      </text>
    </comment>
    <comment ref="L137" authorId="0" shapeId="0" xr:uid="{00000000-0006-0000-0100-000016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9784 moduli riverclak Evis e 3344,20 ill emergenza venturi</t>
        </r>
      </text>
    </comment>
    <comment ref="R139" authorId="2" shapeId="0" xr:uid="{9E755EC2-DBC7-410C-BD94-E78B6B05B1FB}">
      <text>
        <r>
          <rPr>
            <b/>
            <sz val="9"/>
            <color indexed="81"/>
            <rFont val="Tahoma"/>
            <family val="2"/>
          </rPr>
          <t>Battistini Giovanni:</t>
        </r>
        <r>
          <rPr>
            <sz val="9"/>
            <color indexed="81"/>
            <rFont val="Tahoma"/>
            <family val="2"/>
          </rPr>
          <t xml:space="preserve">
Previsti 7000€ in più rispetto alle previsioni Tulli</t>
        </r>
      </text>
    </comment>
    <comment ref="L141" authorId="0" shapeId="0" xr:uid="{00000000-0006-0000-0100-000017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5000 hub s.egidio e altri quartieri
2968,45 preventivo di CD Cesena. Esclusi i PC con importo superiore a 512€ xk immobilizzati
4023,21 antintrusione magazzino R-sicurezza</t>
        </r>
      </text>
    </comment>
    <comment ref="R145" authorId="1" shapeId="0" xr:uid="{EE08EF56-9EC2-4635-A4C7-540D9462F497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4.950 per contratto fino al 30/06 e 2.435 per previsioni costi materiali nostra centrale operativa</t>
        </r>
      </text>
    </comment>
    <comment ref="L146" authorId="0" shapeId="0" xr:uid="{00000000-0006-0000-0100-000018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lavori upgrade con S. Biagio; Vigili e batterie centralino comune per € 13.000 che potrebbero essere rimandati al 2024</t>
        </r>
      </text>
    </comment>
    <comment ref="R147" authorId="1" shapeId="0" xr:uid="{348823A9-2297-4F89-B550-38AF8FA0CE0E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2515,60 per ups contratto fino al 30/06 + stima materiale nostra centrale operativa per 400€ + 4528,95 contabilità DF fino al 30/06 + previsione materiali 300€</t>
        </r>
      </text>
    </comment>
    <comment ref="L149" authorId="0" shapeId="0" xr:uid="{00000000-0006-0000-0100-000019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9655,2 hub s.egidio e altri quartieri
2655,8 ill emergenza venturi
15664,34 saec impianti elettrici magazzino</t>
        </r>
      </text>
    </comment>
    <comment ref="L151" authorId="0" shapeId="0" xr:uid="{00000000-0006-0000-0100-00001A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19305,52 hub s.egidio e altri quartieri
694,48  per ill emergenza venturi</t>
        </r>
      </text>
    </comment>
    <comment ref="L155" authorId="0" shapeId="0" xr:uid="{00000000-0006-0000-0100-00001B000000}">
      <text>
        <r>
          <rPr>
            <sz val="11"/>
            <color rgb="FF000000"/>
            <rFont val="Calibri"/>
            <family val="2"/>
            <charset val="1"/>
          </rPr>
          <t xml:space="preserve">Morigi Silvia:
1600 </t>
        </r>
        <r>
          <rPr>
            <sz val="9"/>
            <color rgb="FF000000"/>
            <rFont val="Tahoma"/>
            <family val="2"/>
            <charset val="1"/>
          </rPr>
          <t>CLIMA - deumidificatori Villa Silvia
3500 paolo lucchi magazzino
9234,98 prokoss scaffallature magazziono</t>
        </r>
      </text>
    </comment>
    <comment ref="L160" authorId="0" shapeId="0" xr:uid="{9A8CF8A3-380D-4D58-B6CE-C59C5B49A6CF}">
      <text>
        <r>
          <rPr>
            <sz val="11"/>
            <color rgb="FF000000"/>
            <rFont val="Calibri"/>
            <family val="2"/>
            <charset val="1"/>
          </rPr>
          <t xml:space="preserve">Morigi Silvia:
1600 </t>
        </r>
        <r>
          <rPr>
            <sz val="9"/>
            <color rgb="FF000000"/>
            <rFont val="Tahoma"/>
            <family val="2"/>
            <charset val="1"/>
          </rPr>
          <t>CLIMA - deumidificatori Villa Silvia
3500 paolo lucchi magazzino
9234,98 prokoss scaffallature magazziono</t>
        </r>
      </text>
    </comment>
    <comment ref="L172" authorId="0" shapeId="0" xr:uid="{00000000-0006-0000-0100-00001C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Alluvione 100%
Palazzo Mazzini-Marinelli 100%</t>
        </r>
      </text>
    </comment>
    <comment ref="M172" authorId="0" shapeId="0" xr:uid="{00000000-0006-0000-0100-000030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Foro 80% impianti di climatizzazione
Foro 100% impianti elettrici e speciali</t>
        </r>
      </text>
    </comment>
    <comment ref="L174" authorId="0" shapeId="0" xr:uid="{00000000-0006-0000-0100-00001D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Ferretti
Gasperini
Ciani
Comitel
3T
Readytech
Maltoni
Parcheggi spa</t>
        </r>
      </text>
    </comment>
    <comment ref="L175" authorId="0" shapeId="0" xr:uid="{00000000-0006-0000-0100-00001E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Contratto di Gian Paolo amadori</t>
        </r>
      </text>
    </comment>
    <comment ref="N177" authorId="3" shapeId="0" xr:uid="{21008A40-1562-499F-A165-FB1F90C9DD63}">
      <text>
        <r>
          <rPr>
            <b/>
            <sz val="9"/>
            <color indexed="81"/>
            <rFont val="Tahoma"/>
            <family val="2"/>
          </rPr>
          <t>De Stasi Giada:</t>
        </r>
        <r>
          <rPr>
            <sz val="9"/>
            <color indexed="81"/>
            <rFont val="Tahoma"/>
            <family val="2"/>
          </rPr>
          <t xml:space="preserve">
Inseriti 80 k relativi al palazzo Comunale da Marzo 2024</t>
        </r>
      </text>
    </comment>
    <comment ref="E178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l'autoconsumo è stato stimato a 0,18€/kWh (IVA esclusa)</t>
        </r>
      </text>
    </comment>
    <comment ref="L183" authorId="0" shapeId="0" xr:uid="{00000000-0006-0000-0100-00001F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Contratto Amodori CT 2023 - 7560€</t>
        </r>
      </text>
    </comment>
    <comment ref="M185" authorId="0" shapeId="0" xr:uid="{00000000-0006-0000-0100-000031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sconto montiano proposto da Michela</t>
        </r>
      </text>
    </comment>
    <comment ref="R187" authorId="1" shapeId="0" xr:uid="{C1CFBBEC-439C-4C75-A954-0A344548E439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verifiche AUSL + stima conguaglio art.9 e bollini</t>
        </r>
      </text>
    </comment>
    <comment ref="L196" authorId="0" shapeId="0" xr:uid="{00000000-0006-0000-0100-000020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prototipo per perdite idrice SAEC</t>
        </r>
      </text>
    </comment>
    <comment ref="H198" authorId="0" shapeId="0" xr:uid="{00000000-0006-0000-0100-000003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sono 2 fatture di A2A che conguagliano delle fatture del 2022, per semplicità sno state caricate qui ma potevano essere inserite in sopravvenienze passive</t>
        </r>
      </text>
    </comment>
    <comment ref="L198" authorId="0" shapeId="0" xr:uid="{00000000-0006-0000-0100-000021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svincolo 0,5% Biguzzi
+ lavori fontana masini SOEL</t>
        </r>
      </text>
    </comment>
    <comment ref="M198" authorId="0" shapeId="0" xr:uid="{00000000-0006-0000-0100-000032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33900 lavori soel gronda
+ Quota costi accessori 10.2.b 39.934€ già fatturati a gennaio 2023</t>
        </r>
      </text>
    </comment>
    <comment ref="N198" authorId="0" shapeId="0" xr:uid="{00000000-0006-0000-0100-000042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33900 lavori soel gronda
+ Quota costi accessori 10.2.b 39.934€ già fatturati a gennaio 2023
+130000€ lavori</t>
        </r>
      </text>
    </comment>
    <comment ref="F199" authorId="0" shapeId="0" xr:uid="{00000000-0006-0000-0100-000002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Contratto Giampaolo Amadori già tutto fatturato nel 2022</t>
        </r>
      </text>
    </comment>
    <comment ref="M203" authorId="0" shapeId="0" xr:uid="{00000000-0006-0000-0100-000033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di cui circa 17.000 per Bando della Provincia - sentinelle dello spreco</t>
        </r>
      </text>
    </comment>
    <comment ref="N203" authorId="0" shapeId="0" xr:uid="{00000000-0006-0000-0100-000043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 xml:space="preserve">di cui circa 17.000 per Bando della Provincia - sentinelle dello spreco,
1.560€ per sito internet
2.500 € per aggeggi timer in comune </t>
        </r>
      </text>
    </comment>
    <comment ref="L206" authorId="0" shapeId="0" xr:uid="{00000000-0006-0000-0100-000022000000}">
      <text>
        <r>
          <rPr>
            <sz val="11"/>
            <color rgb="FF000000"/>
            <rFont val="Calibri"/>
            <family val="2"/>
            <charset val="1"/>
          </rPr>
          <t xml:space="preserve">Morigi Silvia:
1900 </t>
        </r>
        <r>
          <rPr>
            <sz val="9"/>
            <color rgb="FF000000"/>
            <rFont val="Tahoma"/>
            <family val="2"/>
            <charset val="1"/>
          </rPr>
          <t>Bollette gasometro
18,841,06 Fantafer per attrezzatura ATR</t>
        </r>
      </text>
    </comment>
    <comment ref="N212" authorId="1" shapeId="0" xr:uid="{00CEB60F-2BBC-46BD-AB95-3F907DD25090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abbassati a 20.000 come da indicazioni di Giovanni. Aggiunti 40000 di efficientamento + 30000 di nuovi allacci</t>
        </r>
      </text>
    </comment>
    <comment ref="N218" authorId="1" shapeId="0" xr:uid="{B3BCFC41-CADA-48C2-AFDB-ECA39582E966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portati a zero</t>
        </r>
      </text>
    </comment>
    <comment ref="R232" authorId="1" shapeId="0" xr:uid="{0957BF47-3393-46B5-AF78-AAECD7EDC6BB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Inteso 2288 e Calandrini 1456 prevediamo altri 3000 per incarico professionista via Verdi (sacro cuore)</t>
        </r>
      </text>
    </comment>
    <comment ref="L234" authorId="1" shapeId="0" xr:uid="{4E9491E1-A6B8-412A-AA8C-BC5520CB810D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aggiunte norme UNI per 233 €</t>
        </r>
      </text>
    </comment>
    <comment ref="L237" authorId="1" shapeId="0" xr:uid="{ED18BBA8-683E-4C68-B1B7-3B9A1485B9EF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5000 </t>
        </r>
      </text>
    </comment>
    <comment ref="M238" authorId="0" shapeId="0" xr:uid="{00000000-0006-0000-0100-000034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aggiunti 12000 per nuove assicurazioni</t>
        </r>
      </text>
    </comment>
    <comment ref="N238" authorId="0" shapeId="0" xr:uid="{00000000-0006-0000-0100-000044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aggiunti 12000 per nuove assicurazioni</t>
        </r>
      </text>
    </comment>
    <comment ref="M240" authorId="0" shapeId="0" xr:uid="{00000000-0006-0000-0100-000035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aggiunti 3 nuovi automezzi + carburante</t>
        </r>
      </text>
    </comment>
    <comment ref="N240" authorId="0" shapeId="0" xr:uid="{00000000-0006-0000-0100-000045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aggiunti 3 nuovi automezzi + carburante</t>
        </r>
      </text>
    </comment>
    <comment ref="M241" authorId="0" shapeId="0" xr:uid="{00000000-0006-0000-0100-000036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aggiunto un dipendente al sistema dei buoni pasto</t>
        </r>
      </text>
    </comment>
    <comment ref="N241" authorId="0" shapeId="0" xr:uid="{00000000-0006-0000-0100-000046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aggiunto due dipendenti al sistema dei buoni pasto</t>
        </r>
      </text>
    </comment>
    <comment ref="M242" authorId="0" shapeId="0" xr:uid="{00000000-0006-0000-0100-000037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aggiunta vigilanza magazzino</t>
        </r>
      </text>
    </comment>
    <comment ref="N242" authorId="0" shapeId="0" xr:uid="{00000000-0006-0000-0100-000047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aggiunta vigilanza magazzino</t>
        </r>
      </text>
    </comment>
    <comment ref="R242" authorId="1" shapeId="0" xr:uid="{D2A1CAF9-7D24-4C4C-AF36-5E84B6E584B1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Importi canoni Uffici+magazzino + 500€ per eventuali interventi</t>
        </r>
      </text>
    </comment>
    <comment ref="M244" authorId="0" shapeId="0" xr:uid="{00000000-0006-0000-0100-000038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Readytec software magazzino + Cosa software bollette</t>
        </r>
      </text>
    </comment>
    <comment ref="N244" authorId="0" shapeId="0" xr:uid="{00000000-0006-0000-0100-000048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Readytec software magazzino + Cosa software bollette</t>
        </r>
      </text>
    </comment>
    <comment ref="L251" authorId="0" shapeId="0" xr:uid="{00000000-0006-0000-0100-000023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tolti 29.000 da capitalizzare</t>
        </r>
      </text>
    </comment>
    <comment ref="N251" authorId="1" shapeId="0" xr:uid="{839A93D5-E1EB-433E-A98D-A1630A252B2B}">
      <text>
        <r>
          <rPr>
            <b/>
            <sz val="9"/>
            <color indexed="81"/>
            <rFont val="Tahoma"/>
            <family val="2"/>
          </rPr>
          <t>Morigi Silvia:</t>
        </r>
        <r>
          <rPr>
            <sz val="9"/>
            <color indexed="81"/>
            <rFont val="Tahoma"/>
            <family val="2"/>
          </rPr>
          <t xml:space="preserve">
lasciato invariato ma c'è nuovo dipendente L.68</t>
        </r>
      </text>
    </comment>
    <comment ref="L253" authorId="0" shapeId="0" xr:uid="{00000000-0006-0000-0100-000024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Tiene conto:
WI-FI parchi 42.000
Ex Gill 11.000
II Lotto LED IP 133.000
Energy Diary quartieri 109.500
Costi personale 29.000
III Lotto Led IP 64400 già fatturati</t>
        </r>
      </text>
    </comment>
    <comment ref="L254" authorId="0" shapeId="0" xr:uid="{00000000-0006-0000-0100-000025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2023 ammortamento costi personale decisione 2022 inclusi</t>
        </r>
      </text>
    </comment>
    <comment ref="M254" authorId="0" shapeId="0" xr:uid="{00000000-0006-0000-0100-000039000000}">
      <text>
        <r>
          <rPr>
            <sz val="11"/>
            <color rgb="FF000000"/>
            <rFont val="Calibri"/>
            <family val="2"/>
            <charset val="1"/>
          </rPr>
          <t xml:space="preserve">De Stasi Giada:
</t>
        </r>
        <r>
          <rPr>
            <sz val="9"/>
            <color rgb="FF000000"/>
            <rFont val="Tahoma"/>
            <family val="2"/>
            <charset val="1"/>
          </rPr>
          <t>III Lotto Led IP
150 k di Impatto 0
20 k personale, non è stato tolto dai costi del personale</t>
        </r>
      </text>
    </comment>
    <comment ref="L265" authorId="0" shapeId="0" xr:uid="{00000000-0006-0000-0100-000026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471,16 ritenute anno 2022 contratto Clima service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9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Foro 50% impianti di climatizzazione
Foro 50% impianti elettrici e speciali
Alluvione 100% + 10%
Palazzo Mazzini-Marinelli 100% + 10%</t>
        </r>
      </text>
    </comment>
    <comment ref="J21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Il comune ha deciso di non andare avanti</t>
        </r>
      </text>
    </comment>
    <comment ref="J24" authorId="0" shapeId="0" xr:uid="{00000000-0006-0000-0000-000006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tutto fermo</t>
        </r>
      </text>
    </comment>
    <comment ref="J25" authorId="0" shapeId="0" xr:uid="{00000000-0006-0000-0000-000007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Bonci</t>
        </r>
      </text>
    </comment>
    <comment ref="J26" authorId="0" shapeId="0" xr:uid="{00000000-0006-0000-0000-000008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Considerato a 0 ma verificare con Simona per il 2024</t>
        </r>
      </text>
    </comment>
    <comment ref="J27" authorId="0" shapeId="0" xr:uid="{00000000-0006-0000-0000-000009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tutto finito</t>
        </r>
      </text>
    </comment>
    <comment ref="J29" authorId="0" shapeId="0" xr:uid="{00000000-0006-0000-0000-00000A000000}">
      <text>
        <r>
          <rPr>
            <sz val="11"/>
            <color rgb="FF000000"/>
            <rFont val="Calibri"/>
            <family val="2"/>
            <charset val="1"/>
          </rPr>
          <t xml:space="preserve">Battistini Giovanni:
</t>
        </r>
        <r>
          <rPr>
            <sz val="9"/>
            <color rgb="FF000000"/>
            <rFont val="Tahoma"/>
            <family val="2"/>
            <charset val="1"/>
          </rPr>
          <t>25% dell'importo di contratto - II rata</t>
        </r>
      </text>
    </comment>
    <comment ref="J30" authorId="0" shapeId="0" xr:uid="{00000000-0006-0000-0000-00000B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Considerato il 50% dell'ncarico ma si può modificare. 
Va bene una percentuale variabile che va dal 70% al 40%)</t>
        </r>
      </text>
    </comment>
    <comment ref="J32" authorId="0" shapeId="0" xr:uid="{00000000-0006-0000-0000-00000C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Hub S.Egidio elettrici + 19.490,00 incarico POR-FESR carducci e Media 2 ancora da fare</t>
        </r>
      </text>
    </comment>
    <comment ref="J34" authorId="0" shapeId="0" xr:uid="{00000000-0006-0000-0000-00000D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nuove previsioni energia elettrica con prezzi aggiornati a luglio 2023</t>
        </r>
      </text>
    </comment>
    <comment ref="J68" authorId="0" shapeId="0" xr:uid="{00000000-0006-0000-0000-00000E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Rinnovo del servizio:
Bill audit 15 utenze e centrali di committenza + supporto nelle adesioni e nei rapporti con fornitori e gestori - 2,500 annui</t>
        </r>
      </text>
    </comment>
    <comment ref="J77" authorId="0" shapeId="0" xr:uid="{00000000-0006-0000-0000-00000F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Art-er
Gambettola
Romagna acque</t>
        </r>
      </text>
    </comment>
    <comment ref="J79" authorId="0" shapeId="0" xr:uid="{00000000-0006-0000-0000-000010000000}">
      <text>
        <r>
          <rPr>
            <sz val="11"/>
            <color rgb="FF000000"/>
            <rFont val="Calibri"/>
            <family val="2"/>
            <charset val="1"/>
          </rPr>
          <t xml:space="preserve">Battistini Giovanni:
</t>
        </r>
        <r>
          <rPr>
            <sz val="9"/>
            <color rgb="FF000000"/>
            <rFont val="Tahoma"/>
            <family val="2"/>
            <charset val="1"/>
          </rPr>
          <t>Attività A - 4000 anno 2023
Atività B+C - 4000 anno 2024?</t>
        </r>
      </text>
    </comment>
    <comment ref="J95" authorId="0" shapeId="0" xr:uid="{00000000-0006-0000-0000-000011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9074,15 - GSE
8632,33 - Fattura climaservice per conguaglio art 9 considerata troppo alta</t>
        </r>
      </text>
    </comment>
    <comment ref="J108" authorId="0" shapeId="0" xr:uid="{00000000-0006-0000-0000-000012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9000 hub s.egidio e altri quartieri
7000 per lavori Pesaro a seguito delle verifiche</t>
        </r>
      </text>
    </comment>
    <comment ref="J112" authorId="0" shapeId="0" xr:uid="{00000000-0006-0000-0000-000013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 xml:space="preserve">accorpato nel contratto globale AUSL </t>
        </r>
      </text>
    </comment>
    <comment ref="J113" authorId="0" shapeId="0" xr:uid="{00000000-0006-0000-0000-000014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10344,8 moduli riverclak Evis e 3344,20 ill emergenza venturi</t>
        </r>
      </text>
    </comment>
    <comment ref="J117" authorId="0" shapeId="0" xr:uid="{00000000-0006-0000-0000-000015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5000 hub s.egidio e altri quartieri</t>
        </r>
      </text>
    </comment>
    <comment ref="J122" authorId="0" shapeId="0" xr:uid="{00000000-0006-0000-0000-000016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lavori upgrade con S. Biagio; Vigili e batterie centralino comune per € 13.000 che potrebbero essere rimandati al 2024</t>
        </r>
      </text>
    </comment>
    <comment ref="J125" authorId="0" shapeId="0" xr:uid="{00000000-0006-0000-0000-000017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9655,2 hub s.egidio e altri quartieri
2655,8 ill emergenza venturi</t>
        </r>
      </text>
    </comment>
    <comment ref="J127" authorId="0" shapeId="0" xr:uid="{00000000-0006-0000-0000-000018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19305,52 hub s.egidio e altri quartieri
694,48  per ill emergenza venturi</t>
        </r>
      </text>
    </comment>
    <comment ref="J131" authorId="0" shapeId="0" xr:uid="{00000000-0006-0000-0000-000019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CLIMA - deumidificatori Villa Silvia</t>
        </r>
      </text>
    </comment>
    <comment ref="J138" authorId="0" shapeId="0" xr:uid="{00000000-0006-0000-0000-00001A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6378,72 considerati spesi per ditte varie</t>
        </r>
      </text>
    </comment>
    <comment ref="J142" authorId="0" shapeId="0" xr:uid="{00000000-0006-0000-0000-00001B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Foro 50% impianti di climatizzazione
Foro 50% impianti elettrici e speciali
Alluvione 100%
Palazzo Mazzini-Marinelli 100%</t>
        </r>
      </text>
    </comment>
    <comment ref="J144" authorId="0" shapeId="0" xr:uid="{00000000-0006-0000-0000-00001C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Ferretti
Gasperini
Ciani
Studio Benedetti - APE: 0</t>
        </r>
      </text>
    </comment>
    <comment ref="J145" authorId="0" shapeId="0" xr:uid="{00000000-0006-0000-0000-00001D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Contratto di Gian Paolo amadori</t>
        </r>
      </text>
    </comment>
    <comment ref="E149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l'autoconsumo è stato stimato a 0,18€/kWh (IVA esclusa)</t>
        </r>
      </text>
    </comment>
    <comment ref="J154" authorId="0" shapeId="0" xr:uid="{00000000-0006-0000-0000-00001E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Contratto Amodori CT 2023 - 7560€</t>
        </r>
      </text>
    </comment>
    <comment ref="H167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sono 2 fatture di A2A che conguagliano delle fatture del 2022, per semplicità sno state caricate qui ma potevano essere inserite in sopravvenienze passive</t>
        </r>
      </text>
    </comment>
    <comment ref="F168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Contratto Giampaolo Amadori già tutto fatturato nel 2022</t>
        </r>
      </text>
    </comment>
    <comment ref="J175" authorId="0" shapeId="0" xr:uid="{00000000-0006-0000-0000-00001F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Bollette gasometro</t>
        </r>
      </text>
    </comment>
    <comment ref="K196" authorId="0" shapeId="0" xr:uid="{00000000-0006-0000-0000-000023000000}">
      <text>
        <r>
          <rPr>
            <sz val="11"/>
            <color rgb="FF000000"/>
            <rFont val="Calibri"/>
            <family val="2"/>
            <charset val="1"/>
          </rPr>
          <t xml:space="preserve">Battistini Giovanni:
</t>
        </r>
        <r>
          <rPr>
            <sz val="9"/>
            <color rgb="FF000000"/>
            <rFont val="Tahoma"/>
            <family val="2"/>
            <charset val="1"/>
          </rPr>
          <t>stima Annarita - 29000</t>
        </r>
      </text>
    </comment>
    <comment ref="J199" authorId="0" shapeId="0" xr:uid="{00000000-0006-0000-0000-000020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Tiene conto:
WI-FI parchi 35.000
Ex Gill 11.000
II Lotto LED IP 122.000
Energy Diary quartieri 109.500
Costi personale 29.000</t>
        </r>
      </text>
    </comment>
    <comment ref="J200" authorId="0" shapeId="0" xr:uid="{00000000-0006-0000-0000-000021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2023 ammortamento costi personale decisione 2022 inclusi</t>
        </r>
      </text>
    </comment>
    <comment ref="J209" authorId="0" shapeId="0" xr:uid="{00000000-0006-0000-0000-000022000000}">
      <text>
        <r>
          <rPr>
            <sz val="11"/>
            <color rgb="FF000000"/>
            <rFont val="Calibri"/>
            <family val="2"/>
            <charset val="1"/>
          </rPr>
          <t xml:space="preserve">Morigi Silvia:
</t>
        </r>
        <r>
          <rPr>
            <sz val="9"/>
            <color rgb="FF000000"/>
            <rFont val="Tahoma"/>
            <family val="2"/>
            <charset val="1"/>
          </rPr>
          <t>471,16 ritenute anno 2022 contratto Clima service</t>
        </r>
      </text>
    </comment>
  </commentList>
</comments>
</file>

<file path=xl/sharedStrings.xml><?xml version="1.0" encoding="utf-8"?>
<sst xmlns="http://schemas.openxmlformats.org/spreadsheetml/2006/main" count="3277" uniqueCount="1184">
  <si>
    <t>BUDGET 2023</t>
  </si>
  <si>
    <t>EMESSE ENTRO IL 30/06</t>
  </si>
  <si>
    <t>CONTRATTI 2023</t>
  </si>
  <si>
    <t>CONTABILITA'</t>
  </si>
  <si>
    <t>COMPETENZE 30/06</t>
  </si>
  <si>
    <t>PRECONSUNTIVO</t>
  </si>
  <si>
    <t>Nodo</t>
  </si>
  <si>
    <t>Descrizione</t>
  </si>
  <si>
    <t>Importo</t>
  </si>
  <si>
    <t xml:space="preserve"> • CONTO_ECON_RICLAS_2021</t>
  </si>
  <si>
    <t>CdC</t>
  </si>
  <si>
    <t>VdS</t>
  </si>
  <si>
    <t>CONTO ECONOMICO RICLASSIFICATO - ENERGIE PER LA CITTA' SRL (EURO)</t>
  </si>
  <si>
    <t>fatturati</t>
  </si>
  <si>
    <t xml:space="preserve">             • A_VALPROD</t>
  </si>
  <si>
    <t>VALORE DELLA PRODUZIONE</t>
  </si>
  <si>
    <t xml:space="preserve">                         • 1_TOTRIC</t>
  </si>
  <si>
    <t>RICAVI DELLE VENDITE E DELLE PRESTAZIONI</t>
  </si>
  <si>
    <t xml:space="preserve">                                     • RIC_A</t>
  </si>
  <si>
    <t>RICAVI convenzione PRINCIPALE COMUNE DI CESENA</t>
  </si>
  <si>
    <t>Determina 149/2023</t>
  </si>
  <si>
    <t xml:space="preserve">                                                 • A1</t>
  </si>
  <si>
    <t>RICAVI ART.4 MANUTENZIONE ORDINARIA IMPIANTI</t>
  </si>
  <si>
    <t>IVA inclusa</t>
  </si>
  <si>
    <t>IVA esclusa</t>
  </si>
  <si>
    <t>I rata</t>
  </si>
  <si>
    <t>II rata</t>
  </si>
  <si>
    <t>01/04/001</t>
  </si>
  <si>
    <t>01/04/0001</t>
  </si>
  <si>
    <t>ART.4 Manutenzione ordinaria IMPIANTI</t>
  </si>
  <si>
    <t>art4</t>
  </si>
  <si>
    <t>cap. 10050050</t>
  </si>
  <si>
    <t>01/04/002</t>
  </si>
  <si>
    <t>01/04/0002</t>
  </si>
  <si>
    <t>ART.4 Manutenzione ordinaria NUOVI IMPIANTI</t>
  </si>
  <si>
    <t>art16</t>
  </si>
  <si>
    <t xml:space="preserve">                                                 • A2</t>
  </si>
  <si>
    <t>RICAVI ART.5 MANUTENZIONE STRAORDINARIA IMPIANTI</t>
  </si>
  <si>
    <t>art4new</t>
  </si>
  <si>
    <t>ISPELS</t>
  </si>
  <si>
    <t xml:space="preserve">                                                             • RIC_A_INCORSO</t>
  </si>
  <si>
    <t>Totale RICAVI a misura ART.5 anno RIF.TO BUDGET</t>
  </si>
  <si>
    <t>01/05/001</t>
  </si>
  <si>
    <t>01/05/0010</t>
  </si>
  <si>
    <t>ART.5 2023 Manutenzione STRAORDINARIA impianti</t>
  </si>
  <si>
    <t xml:space="preserve">                                                             • RIC_A_PREC</t>
  </si>
  <si>
    <t>Totale RICAVI a misura art. 5 anni PRECEDENTI BUDGET</t>
  </si>
  <si>
    <t>REF.INTERCENTER</t>
  </si>
  <si>
    <t>01/05/002</t>
  </si>
  <si>
    <t>01/05/0009</t>
  </si>
  <si>
    <t>ART.5 2022 Manutenzione STRAORDINARIA impianti</t>
  </si>
  <si>
    <t>man</t>
  </si>
  <si>
    <t>01/05/0007</t>
  </si>
  <si>
    <t>ART.5 2021 SOMME a disposizione per interventi non programmabili</t>
  </si>
  <si>
    <t>cap. 58050020</t>
  </si>
  <si>
    <t>01/05/0002</t>
  </si>
  <si>
    <t>ART.5 2020 SOMME a disposizione per interventi non programmabili</t>
  </si>
  <si>
    <t xml:space="preserve">                                                             • RIC_A_ALTRI</t>
  </si>
  <si>
    <t>Totale RICAVI a misura ART.5 ALTRI PROGETTI</t>
  </si>
  <si>
    <t>nuova man</t>
  </si>
  <si>
    <t>parte a corpo, parte a misura</t>
  </si>
  <si>
    <t>01/05/003</t>
  </si>
  <si>
    <t>01/05/0008</t>
  </si>
  <si>
    <t>ART.5 ALTRI PROGETTI di manutenzione straordinaria</t>
  </si>
  <si>
    <t xml:space="preserve">                                                 • A3</t>
  </si>
  <si>
    <t>RICAVI ART.6 INCARICHI DAL COMUNE DI CESENA</t>
  </si>
  <si>
    <t xml:space="preserve">                                                             • 01/06/0011</t>
  </si>
  <si>
    <t>01/06/001</t>
  </si>
  <si>
    <t>01/06/0011</t>
  </si>
  <si>
    <t>ART.6 Impianti NZEB scuola elementare San Vittore</t>
  </si>
  <si>
    <t>Determina 861/2023</t>
  </si>
  <si>
    <t xml:space="preserve">                                                             • 01/06/0012</t>
  </si>
  <si>
    <t>01/06/0012</t>
  </si>
  <si>
    <t>ATR.6 Palazzo MAZZINI-MARINELLI</t>
  </si>
  <si>
    <t xml:space="preserve">                                                             • 01/06/0013</t>
  </si>
  <si>
    <t>01/06/0013</t>
  </si>
  <si>
    <t>ART.6 PINACOTECA Galleria OIR</t>
  </si>
  <si>
    <t>Giovanni propone una rivalutazione per i prossimi anni</t>
  </si>
  <si>
    <t>art7</t>
  </si>
  <si>
    <t>FTV</t>
  </si>
  <si>
    <t xml:space="preserve">                                                             • 01/06/0020</t>
  </si>
  <si>
    <t>01/06/0020</t>
  </si>
  <si>
    <t>ART.6 Progetto RIDOTTO BONCI</t>
  </si>
  <si>
    <t>01/06/002</t>
  </si>
  <si>
    <t>01/06/0024</t>
  </si>
  <si>
    <t>ART.6 Incarichi da PNRR</t>
  </si>
  <si>
    <t>Determina 1821/2022</t>
  </si>
  <si>
    <t>01/06/0025</t>
  </si>
  <si>
    <t>ART.6 Ex Scuola DIEGARO</t>
  </si>
  <si>
    <t>conguaglio</t>
  </si>
  <si>
    <t>01/06/0026</t>
  </si>
  <si>
    <t>ART.6 CARISPORT</t>
  </si>
  <si>
    <t>art9</t>
  </si>
  <si>
    <t>cap. 44050060</t>
  </si>
  <si>
    <t>biblioteca malatestiana</t>
  </si>
  <si>
    <t>Prestazione principale servizio+oneri sicurezza+prestazioni extracanone (1a+1b+3+4)</t>
  </si>
  <si>
    <t>fatturati 2023</t>
  </si>
  <si>
    <t>01/06/0028</t>
  </si>
  <si>
    <t>ART.6 Riqualificazione MEDIA V.LE DELLA RESISTENZA</t>
  </si>
  <si>
    <t>cap. 35050060</t>
  </si>
  <si>
    <t>polizia</t>
  </si>
  <si>
    <t>andati in deduzione nel 2022</t>
  </si>
  <si>
    <t>01/06/0029</t>
  </si>
  <si>
    <t>ART.6 nuova scuola MATERNA OSSERVANZA</t>
  </si>
  <si>
    <t>cap. 36050061</t>
  </si>
  <si>
    <t>materne comunali</t>
  </si>
  <si>
    <t>01/06/0030</t>
  </si>
  <si>
    <t>ART.6 FORO ANNONARIO</t>
  </si>
  <si>
    <t>cap. 36050060</t>
  </si>
  <si>
    <t>materne statali</t>
  </si>
  <si>
    <t>01/06/0031</t>
  </si>
  <si>
    <t>ART.6 PORTA SANTI</t>
  </si>
  <si>
    <t>cap. 37050060</t>
  </si>
  <si>
    <t>istruzione primaria</t>
  </si>
  <si>
    <t>01/06/0032</t>
  </si>
  <si>
    <t>ART.6 ALTRI INCARICHI</t>
  </si>
  <si>
    <t>cap. 38050060</t>
  </si>
  <si>
    <t>istruzione secondaria</t>
  </si>
  <si>
    <t xml:space="preserve">                                                 • A4</t>
  </si>
  <si>
    <t>RICAVI ART.7 UTENZE DI ENERGIA ELETTRICA IMPIANTI FOTOVOLTAICI</t>
  </si>
  <si>
    <t>cap. 52050060</t>
  </si>
  <si>
    <t>palestre</t>
  </si>
  <si>
    <t xml:space="preserve">                                                             • 01/07/0001</t>
  </si>
  <si>
    <t>01/07/003</t>
  </si>
  <si>
    <t>01/07/0001</t>
  </si>
  <si>
    <t>ART.7 Ricavi per UTENZE di Energia Elettrica impianti fotovoltaici</t>
  </si>
  <si>
    <t>cap. 73050060</t>
  </si>
  <si>
    <t>nido</t>
  </si>
  <si>
    <t xml:space="preserve">                                                             • 01/07/0002</t>
  </si>
  <si>
    <t>01/07/001</t>
  </si>
  <si>
    <t>01/07/0002</t>
  </si>
  <si>
    <t>ART.7 Manutenzione ORDINARIA e servizi energetici IMPIANTI FOTOVOLTAICI</t>
  </si>
  <si>
    <t>cap. 80050060</t>
  </si>
  <si>
    <t>cimiteri</t>
  </si>
  <si>
    <t xml:space="preserve">                                                 • A5</t>
  </si>
  <si>
    <t>RICAVI ART.9 SERVIZI DI GESTIONE E MANUTENZIONE IMPIANTI TERMICI</t>
  </si>
  <si>
    <t>cap. 27050060</t>
  </si>
  <si>
    <t>utenze e servizi generali</t>
  </si>
  <si>
    <t xml:space="preserve">                                                             • 01/09/0001</t>
  </si>
  <si>
    <t>01/09/001</t>
  </si>
  <si>
    <t>01/09/0001</t>
  </si>
  <si>
    <t>ART.9 Servizio di Gestione e Manutenzione IMPIANTI TERMICI: COMUNE CESENA</t>
  </si>
  <si>
    <t>cap. 10200300</t>
  </si>
  <si>
    <t>Lavori+oneri sicurezza+servizi ingegneria (2+5+6)</t>
  </si>
  <si>
    <t>01/09/0003</t>
  </si>
  <si>
    <t>ART.9 Servizio di Gestione e Manutenzione IMPIANTI TERMICI: LAVORI</t>
  </si>
  <si>
    <t>01/09/0004</t>
  </si>
  <si>
    <t>ART.9 Servizio di gestione e manutenzione IMPIANTI TERMICI: PRESTAZIONI EXTRA CANONE</t>
  </si>
  <si>
    <t>01/09/0005</t>
  </si>
  <si>
    <t>ART.9 Servizio di gestione e manutenzione IMPIANTI TERMICI: spese generali Società (a corpo)</t>
  </si>
  <si>
    <t xml:space="preserve">                                                 • A6</t>
  </si>
  <si>
    <t>RICAVI ART.16 SERVIZI GENERALI</t>
  </si>
  <si>
    <t>Importo mancante per determina Art. 9 anno 2023</t>
  </si>
  <si>
    <t>Spese tecniche (7g)</t>
  </si>
  <si>
    <t xml:space="preserve">                                                             • 01/16/0001</t>
  </si>
  <si>
    <t>01/16/001</t>
  </si>
  <si>
    <t>01/16/0001</t>
  </si>
  <si>
    <t>ART.16 Servizi GENERALI</t>
  </si>
  <si>
    <t xml:space="preserve">                                     • RIC_B</t>
  </si>
  <si>
    <t>RICAVI manutenzione e gestione BIBLIOTECA MALATESTIANA</t>
  </si>
  <si>
    <t xml:space="preserve">                                                 • 01/20/0001</t>
  </si>
  <si>
    <t>02/01/001</t>
  </si>
  <si>
    <t>01/20/0001</t>
  </si>
  <si>
    <t>BM Energy e Facility Manangement BIBLIOTECA MALATESTIANA</t>
  </si>
  <si>
    <t xml:space="preserve">                                                 • 01/20/0002</t>
  </si>
  <si>
    <t>01/20/0002</t>
  </si>
  <si>
    <t>BM Manutenzione e materiali STRAORDINARI impianti BIBLIOTECA MALATESTIANA</t>
  </si>
  <si>
    <t>01/20/0003</t>
  </si>
  <si>
    <t>BM Impianti speciali-antintrusione BIBLIOTECA MALATESTIANA</t>
  </si>
  <si>
    <t xml:space="preserve">                                     • RIC_C</t>
  </si>
  <si>
    <t>RICAVI convenzione MAN- IP-CIMITERI</t>
  </si>
  <si>
    <t xml:space="preserve">                                                 • 01/30/0001</t>
  </si>
  <si>
    <t>03/01/001</t>
  </si>
  <si>
    <t>01/30/0001</t>
  </si>
  <si>
    <t>MAN Servizio gestione e manutenzione rete MAN e VIDEOSORVEGLIANZA</t>
  </si>
  <si>
    <t xml:space="preserve">                                                 • 01/30/0002</t>
  </si>
  <si>
    <t>01/30/0002</t>
  </si>
  <si>
    <t>MAN Servizio referente tecnico impianti ILLUMINAZIONE PUBBLICA</t>
  </si>
  <si>
    <t xml:space="preserve">                                                 • 01/30/0003</t>
  </si>
  <si>
    <t>01/30/0003</t>
  </si>
  <si>
    <t>MAN Servizio referente tecnico impianti CIMITERI</t>
  </si>
  <si>
    <t>RICAVI PER MAN CONTROLLI TELECAMERE</t>
  </si>
  <si>
    <t>01/30/0004</t>
  </si>
  <si>
    <t>MAN Controlli telecamere</t>
  </si>
  <si>
    <t>ERRORE DI FATTURAZIONE!!!! --------------------------&gt;</t>
  </si>
  <si>
    <t>Manutenzione ordinaria (a corpo)</t>
  </si>
  <si>
    <t xml:space="preserve">                                     • RIC_D</t>
  </si>
  <si>
    <t>RICAVI per CONTRATTI DI RENDIMENTO ENERGETICO</t>
  </si>
  <si>
    <t>Manutenzione proattiva e correttiva (a misura)</t>
  </si>
  <si>
    <t xml:space="preserve">                                                 • 01/40/0001</t>
  </si>
  <si>
    <t>04/01/001</t>
  </si>
  <si>
    <t>01/40/0001</t>
  </si>
  <si>
    <t>EPC-2015 DISTRIBUTORI di bavande e lotto G</t>
  </si>
  <si>
    <t>fatture emesse di competenza 2023 per i controlli delle telecamere</t>
  </si>
  <si>
    <t xml:space="preserve">                                                 • 01/40/0002</t>
  </si>
  <si>
    <t>01/40/0002</t>
  </si>
  <si>
    <t>EPC-2016 LED parcheggio CUBO</t>
  </si>
  <si>
    <t>5 del 04/01/2023</t>
  </si>
  <si>
    <t>Man ordinaria 2023 (era stata fatturata per il 2022 ma poi abbiamo decisio di spostarla al 2023)</t>
  </si>
  <si>
    <t xml:space="preserve">                                                 • 01/40/0003</t>
  </si>
  <si>
    <t>01/40/0003</t>
  </si>
  <si>
    <t>EPC-2017 LED parcheggio MACHIAVELLI</t>
  </si>
  <si>
    <t>42 del 12/04/2023</t>
  </si>
  <si>
    <t>Erroneamente era stato fatturato il 50% dell'importo impegnato in determina</t>
  </si>
  <si>
    <t xml:space="preserve">                                                 • 01/40/0004</t>
  </si>
  <si>
    <t>01/40/0004</t>
  </si>
  <si>
    <t>EPC-2017 Nuova sede VIGILI URBANI</t>
  </si>
  <si>
    <r>
      <rPr>
        <b/>
        <i/>
        <sz val="10"/>
        <color rgb="FF000000"/>
        <rFont val="Calibri"/>
        <family val="2"/>
        <charset val="1"/>
      </rPr>
      <t>Proposta</t>
    </r>
    <r>
      <rPr>
        <i/>
        <sz val="10"/>
        <color rgb="FF000000"/>
        <rFont val="Calibri"/>
        <family val="2"/>
        <charset val="1"/>
      </rPr>
      <t xml:space="preserve">: potremmo dire che di quei 40.479,10 ci sono 27.945 di manutenzione ordinaria e 12.534 di manutenzione correttiva.
</t>
    </r>
    <r>
      <rPr>
        <b/>
        <i/>
        <sz val="10"/>
        <color rgb="FF000000"/>
        <rFont val="Calibri"/>
        <family val="2"/>
        <charset val="1"/>
      </rPr>
      <t>Problema</t>
    </r>
    <r>
      <rPr>
        <i/>
        <sz val="10"/>
        <color rgb="FF000000"/>
        <rFont val="Calibri"/>
        <family val="2"/>
        <charset val="1"/>
      </rPr>
      <t>. al momento i costi preventivati per la manutenzione correttiva sono solo 2.000,la cosa si può realizzare solo aggiungendoci costi relativi al datacenter dei parcheggi</t>
    </r>
  </si>
  <si>
    <t xml:space="preserve">                                                 • 01/40/0005</t>
  </si>
  <si>
    <t>01/40/0005</t>
  </si>
  <si>
    <t>EPC-2018 DIAGNOSI energetiche, LED giardini e scuole, FOTOVOLTAICO</t>
  </si>
  <si>
    <t xml:space="preserve">                                                 • 01/40/0006</t>
  </si>
  <si>
    <t>01/40/0006</t>
  </si>
  <si>
    <t>EPC-2020 Progetto QUARTIERI: LED, FTV, DE e Sportello ExC</t>
  </si>
  <si>
    <t>01/40/0007</t>
  </si>
  <si>
    <t>EPC-2021 IMPATTO ZERO 2022-2024</t>
  </si>
  <si>
    <t>01/40/0008</t>
  </si>
  <si>
    <t>EPC-2021 ENERGY DIARY QUARTIERI</t>
  </si>
  <si>
    <t xml:space="preserve">                                     • RIC_E</t>
  </si>
  <si>
    <t>RICAVI vendita TITOLI DI EFFICIENZA ENERGETICA</t>
  </si>
  <si>
    <t xml:space="preserve">                                                 • 01/50/0001</t>
  </si>
  <si>
    <t>05/01/001</t>
  </si>
  <si>
    <t>01/50/0001</t>
  </si>
  <si>
    <t>TEE Ricavi derivanti dai TITOLI DI EFFICIENZA ENERGETICA</t>
  </si>
  <si>
    <t xml:space="preserve">                                     • RIC_F</t>
  </si>
  <si>
    <t>RICAVI per SPORTELLO ENERGIA</t>
  </si>
  <si>
    <t xml:space="preserve">                                                 • 01/60/0001</t>
  </si>
  <si>
    <t>06/01/001</t>
  </si>
  <si>
    <t>01/60/0001</t>
  </si>
  <si>
    <t>EXC Ricavi derivanti da finanziamenti per lo SPORTELLO ENERGIA</t>
  </si>
  <si>
    <t>Bando partecipazione al netto della ritenuta del 4%</t>
  </si>
  <si>
    <t xml:space="preserve">                                     • RIC_G</t>
  </si>
  <si>
    <t>RICAVI per servizi a ENTI ESTERNI E ORG. PUBBLICI</t>
  </si>
  <si>
    <t xml:space="preserve">                                                 • 01/70/0001</t>
  </si>
  <si>
    <t>07/01/001</t>
  </si>
  <si>
    <t>01/70/0001</t>
  </si>
  <si>
    <t>Comune di MERCATO SARACENO - Manutenzione impianti materna Bora e Energy Diary</t>
  </si>
  <si>
    <t xml:space="preserve">                                                 • 01/70/0002</t>
  </si>
  <si>
    <t>01/70/0002</t>
  </si>
  <si>
    <t>Unione VALLESAVIO - Impianti Montiano (2018-2022)</t>
  </si>
  <si>
    <t xml:space="preserve">                                                 • 01/70/0004</t>
  </si>
  <si>
    <t>01/70/0004</t>
  </si>
  <si>
    <t>ASP - Telecontrollo e bill audit Nuovo Roverella (2018 - 2023)</t>
  </si>
  <si>
    <t xml:space="preserve">                                                 • 01/70/0006</t>
  </si>
  <si>
    <t>01/70/0006</t>
  </si>
  <si>
    <t>UNICA RETI - Servizi Energetici (2018-2023)</t>
  </si>
  <si>
    <t xml:space="preserve">                                                 • 01/70/0007</t>
  </si>
  <si>
    <t>01/70/0007</t>
  </si>
  <si>
    <t>ATR - Servizi Energetici (2018-2023)</t>
  </si>
  <si>
    <t xml:space="preserve">                                                 • 01/70/0011</t>
  </si>
  <si>
    <t>01/70/0011</t>
  </si>
  <si>
    <t>Comune di GAMBETTOLA- Servizio gestione calore (2019-2023)</t>
  </si>
  <si>
    <t xml:space="preserve">                                                 • 01/70/0015</t>
  </si>
  <si>
    <t>01/70/0015</t>
  </si>
  <si>
    <t>Unione VALLESAVIO - PAESC (2021 al 2023)</t>
  </si>
  <si>
    <t>01/70/0017</t>
  </si>
  <si>
    <t>ATR - Gestione impianti GASOMETRO e MATTARELLA</t>
  </si>
  <si>
    <t>01/70/0018</t>
  </si>
  <si>
    <t>ROMAGNA ACQUE - Attivita' commerciali FER</t>
  </si>
  <si>
    <t>01/70/0019</t>
  </si>
  <si>
    <t>COMUNE DI GAMBETTOLA - Pregettazione e DL efficientamento energetico scuola Pascoli</t>
  </si>
  <si>
    <t>01/70/0022</t>
  </si>
  <si>
    <t>PROVINCIA DI FORLI'-CESENA</t>
  </si>
  <si>
    <t>01/70/0023</t>
  </si>
  <si>
    <t>ALTRI CONTRATTI CON ENTI ESTERNI</t>
  </si>
  <si>
    <t>01/70/0024</t>
  </si>
  <si>
    <t>ASP - POR-FESR conto termico ed efficientamento energetico NUOVO ROVERELLA</t>
  </si>
  <si>
    <t>01/70/0025</t>
  </si>
  <si>
    <t>Unione Valle Savio - valutazioni Tecniche CER</t>
  </si>
  <si>
    <t xml:space="preserve">                         • 2_VAR_RIM</t>
  </si>
  <si>
    <t>Variazione rimanenze di prodotti in corso di lavorazione, semilavorati e finiti</t>
  </si>
  <si>
    <t xml:space="preserve">                         • 3_VAR_LAV</t>
  </si>
  <si>
    <t>Variazione dei lavori in corso su ordinazione</t>
  </si>
  <si>
    <t xml:space="preserve">                         • 4_INCR</t>
  </si>
  <si>
    <t>Incrementi di immobilizzazioni per lavori interni</t>
  </si>
  <si>
    <t xml:space="preserve">                         • 5_RIC_PROV</t>
  </si>
  <si>
    <t>ALTRI RICAVI E PROVENTI</t>
  </si>
  <si>
    <t xml:space="preserve">                                     • RIC_H</t>
  </si>
  <si>
    <t>RICAVI DEL FOTOVOLTAICO</t>
  </si>
  <si>
    <t xml:space="preserve">                                                 • 01/07/0003</t>
  </si>
  <si>
    <t>01/07/002</t>
  </si>
  <si>
    <t>01/07/0003</t>
  </si>
  <si>
    <t>ART.7 FTV RICAVI investimento LOTTO A</t>
  </si>
  <si>
    <t xml:space="preserve">                                                 • 01/07/0004</t>
  </si>
  <si>
    <t>01/07/0004</t>
  </si>
  <si>
    <t>ART.7 FTV RICAVI investimento LOTTO B</t>
  </si>
  <si>
    <t xml:space="preserve">                                                 • 01/07/0005</t>
  </si>
  <si>
    <t>01/07/0005</t>
  </si>
  <si>
    <t>ART.7 FTV RICAVI investimento LOTTO C</t>
  </si>
  <si>
    <t xml:space="preserve">                                                 • 01/07/0006</t>
  </si>
  <si>
    <t>01/07/0006</t>
  </si>
  <si>
    <t>ART.7 FTV RICAVI investimento LOTTO D</t>
  </si>
  <si>
    <t xml:space="preserve">                                                 • 01/07/0007</t>
  </si>
  <si>
    <t>01/07/0007</t>
  </si>
  <si>
    <t>ART.7 FTV RICAVI investimento LOTTO E</t>
  </si>
  <si>
    <t xml:space="preserve">                                                 • 01/07/0008</t>
  </si>
  <si>
    <t>01/07/0008</t>
  </si>
  <si>
    <t>ART.7 FTV RICAVI investimento LOTTO F</t>
  </si>
  <si>
    <t xml:space="preserve">                                                 • 01/07/0009</t>
  </si>
  <si>
    <t>01/07/0009</t>
  </si>
  <si>
    <t>ART.7 FTV RICAVI investimento LOTTO H</t>
  </si>
  <si>
    <t xml:space="preserve">                                                 • 01/07/0010</t>
  </si>
  <si>
    <t>01/07/0010</t>
  </si>
  <si>
    <t>ART.7 FTV RICAVI investimento LOTTO L</t>
  </si>
  <si>
    <t xml:space="preserve">                                                 • 01/07/0011</t>
  </si>
  <si>
    <t>01/07/0011</t>
  </si>
  <si>
    <t>ART.7 FTV RICAVI investimenti NUOVI FV</t>
  </si>
  <si>
    <t xml:space="preserve">                                     • RIC_I</t>
  </si>
  <si>
    <t>ALTRI RICAVI</t>
  </si>
  <si>
    <t xml:space="preserve">                                                 • 01/16/0002</t>
  </si>
  <si>
    <t>01/16/0002</t>
  </si>
  <si>
    <t>ART.16 Sopravv. Attive</t>
  </si>
  <si>
    <t>verificare</t>
  </si>
  <si>
    <t xml:space="preserve">                                                 • 01/16/0003</t>
  </si>
  <si>
    <t>01/16/0003</t>
  </si>
  <si>
    <t>ART.16 Arrotondamenti attivi</t>
  </si>
  <si>
    <t xml:space="preserve">                                                 • 01/16/0004</t>
  </si>
  <si>
    <t>01/16/0004</t>
  </si>
  <si>
    <t>ART.16 Rimborso spese e contributi</t>
  </si>
  <si>
    <t xml:space="preserve">             • B_COSTPROD</t>
  </si>
  <si>
    <t>COSTI DELLA PRODUZIONE</t>
  </si>
  <si>
    <t xml:space="preserve">                         • 6_COSTACQ</t>
  </si>
  <si>
    <t>Per acquisti di materie prime, sussidiarie, di consumo e di merci</t>
  </si>
  <si>
    <t xml:space="preserve">                                     • COS_A</t>
  </si>
  <si>
    <t>COSTI convenzione PRINCIPALE COMUNE DI CESENA</t>
  </si>
  <si>
    <t xml:space="preserve">                                                 • A1-C</t>
  </si>
  <si>
    <t>COSTI ART.4 MANUTENZIONE ORDINARIA IMPIANTI</t>
  </si>
  <si>
    <t>confronto con il budget</t>
  </si>
  <si>
    <t>potenziali da spendere</t>
  </si>
  <si>
    <t>Residuo tra budget e quanto già speso ( nuovi imprevisti)</t>
  </si>
  <si>
    <t xml:space="preserve">                                                             • A1-CI</t>
  </si>
  <si>
    <t>Totale COSTI impianti IDRICI - ANTINCENDIO</t>
  </si>
  <si>
    <t xml:space="preserve">                                                                         • 02/04/0001</t>
  </si>
  <si>
    <t>02/04/0001</t>
  </si>
  <si>
    <t>ART.4 Manutenzione ordinaria impianti IDRICI</t>
  </si>
  <si>
    <t xml:space="preserve">                                                                         • 02/04/0002</t>
  </si>
  <si>
    <t>02/04/0002</t>
  </si>
  <si>
    <t>ART.4 Manutenzione ordinaria ESTINTORI-IDRANTI</t>
  </si>
  <si>
    <t xml:space="preserve">                                                                         • 02/04/0003</t>
  </si>
  <si>
    <t>02/04/0003</t>
  </si>
  <si>
    <t>ART.4 VERIFICHE di legge impianti TERMICI AUSL</t>
  </si>
  <si>
    <t xml:space="preserve">                                                                         • 02/04/0004</t>
  </si>
  <si>
    <t>02/04/0004</t>
  </si>
  <si>
    <t>ART.4 Manutenzione ordinaria gruppi pressurizzazione idrica - ANTINCENDIO</t>
  </si>
  <si>
    <t xml:space="preserve">                                                                         • 02/04/0005</t>
  </si>
  <si>
    <t>02/04/0005</t>
  </si>
  <si>
    <t>ART.4 Manutenzione FONTANA MASINI</t>
  </si>
  <si>
    <t xml:space="preserve">                                                                         • 02/04/0006</t>
  </si>
  <si>
    <t>02/04/0006</t>
  </si>
  <si>
    <t>ART.4 IMPREVISTI, lavori economia IDRICI e similari e ribassi gara</t>
  </si>
  <si>
    <t xml:space="preserve">                                                             • A1-CA</t>
  </si>
  <si>
    <t>Totale COSTI ASCENSORI</t>
  </si>
  <si>
    <t xml:space="preserve">                                                                         • 02/04/0007</t>
  </si>
  <si>
    <t>02/04/0007</t>
  </si>
  <si>
    <t>ART.4 Manutenzione ASCENSORI imprevisti e ribassi</t>
  </si>
  <si>
    <t xml:space="preserve">                                                                         • 02/04/0008</t>
  </si>
  <si>
    <t>02/04/0008</t>
  </si>
  <si>
    <t>ART.4 VERIFICHE enti notificati ASCENSORI</t>
  </si>
  <si>
    <t xml:space="preserve">                                                                         • 02/04/0009</t>
  </si>
  <si>
    <t>02/04/0009</t>
  </si>
  <si>
    <t>ART.4 Verifica piattaforma ELEVATORE STAZIONE (con abilitazione ministeriale)</t>
  </si>
  <si>
    <t xml:space="preserve">                                                                         • 02/04/0010</t>
  </si>
  <si>
    <t>02/04/0010</t>
  </si>
  <si>
    <t>ART.4 IMPREVISTI e altri interventi ASCENSORI</t>
  </si>
  <si>
    <t xml:space="preserve">                                                             • A1-CS</t>
  </si>
  <si>
    <t>Totale COSTI impianti di SICUREZZA</t>
  </si>
  <si>
    <t xml:space="preserve">                                                                         • 02/04/0011</t>
  </si>
  <si>
    <t>02/04/0011</t>
  </si>
  <si>
    <t>ART.4 Manutenzione IMPIANTI di SICUREZZA edifici pubblici</t>
  </si>
  <si>
    <t xml:space="preserve">                                                                         • 02/04/0012</t>
  </si>
  <si>
    <t>02/04/0012</t>
  </si>
  <si>
    <t>ART.4 Manutenzione impianti ANTINTRUSIONE, rivelazione... BIBLIOTECA e archivio</t>
  </si>
  <si>
    <t xml:space="preserve">                                                                         • 02/04/0013</t>
  </si>
  <si>
    <t>02/04/0013</t>
  </si>
  <si>
    <t>ART.4 IMPREVISTI e lavori urgenti IMPIANTI di SICUREZZA e ribassi gara</t>
  </si>
  <si>
    <t xml:space="preserve">                                                             • A1-CE</t>
  </si>
  <si>
    <t>Totale COSTI impianti ELETTRICI e similari</t>
  </si>
  <si>
    <t xml:space="preserve">                                                                         • 02/04/0014</t>
  </si>
  <si>
    <t>02/04/0014</t>
  </si>
  <si>
    <t>ART.4 Manutenzione ordinaria impianti ELETTRICI edifici scolastici</t>
  </si>
  <si>
    <t xml:space="preserve">                                                                         • 02/04/0015</t>
  </si>
  <si>
    <t>02/04/0015</t>
  </si>
  <si>
    <t>ART.4 Manutenzione ordinaria impianti ELETTRICI edifici pubblici</t>
  </si>
  <si>
    <t xml:space="preserve">                                                                         • 02/04/0016</t>
  </si>
  <si>
    <t>02/04/0016</t>
  </si>
  <si>
    <t>ART.4 Manutenzione ordinaria impianti di ILLUMINAZIONE di SICUREZZA</t>
  </si>
  <si>
    <t xml:space="preserve">                                                                         • 02/04/0017</t>
  </si>
  <si>
    <t>02/04/0017</t>
  </si>
  <si>
    <t>ART.4 Manutenzione CENTRALINI telefonici</t>
  </si>
  <si>
    <t xml:space="preserve">                                                                         • 02/04/0018</t>
  </si>
  <si>
    <t>02/04/0018</t>
  </si>
  <si>
    <t>ART.4 Manutenzione UPS edifici e gruppo elettrogeno BIBLIOTECA</t>
  </si>
  <si>
    <t xml:space="preserve">                                                                         • 02/04/0019</t>
  </si>
  <si>
    <t>02/04/0019</t>
  </si>
  <si>
    <t>ART.4 VERIFICHE periodiche impianti MESSA A TERRA</t>
  </si>
  <si>
    <t xml:space="preserve">                                                                         • 02/04/0020</t>
  </si>
  <si>
    <t>02/04/0020</t>
  </si>
  <si>
    <t>ART.4 IMPREVISTI e lavori in economia impianti ELETTRICI e ribassi di gara</t>
  </si>
  <si>
    <t xml:space="preserve">                                                             • A1-CM</t>
  </si>
  <si>
    <t>Totale COSTI impianti a MISURA</t>
  </si>
  <si>
    <t xml:space="preserve">                                                                         • 02/04/0021</t>
  </si>
  <si>
    <t>02/04/0021</t>
  </si>
  <si>
    <t>ART.4 Inteventi IMPREVEDIBILI su edifici, strutture ed impianti VARI</t>
  </si>
  <si>
    <t xml:space="preserve">                                                             • A1-CNI</t>
  </si>
  <si>
    <t>Totale COSTI per manutenzione ordinaria NUOVI IMPIANTI</t>
  </si>
  <si>
    <t xml:space="preserve">                                                                         • 02/04/0022</t>
  </si>
  <si>
    <t>02/04/0022</t>
  </si>
  <si>
    <t>ART.4 Gestione impianti piazza della LIBERTA e GIARDINO pubblico</t>
  </si>
  <si>
    <t>02/04/0023</t>
  </si>
  <si>
    <t>ART.4 Manutenzione ordinaria impianti ARCHIVIO storico, data center PM</t>
  </si>
  <si>
    <t>accorpato con 02040012</t>
  </si>
  <si>
    <t xml:space="preserve">                                                                         • 02/04/0024</t>
  </si>
  <si>
    <t>02/04/0024</t>
  </si>
  <si>
    <t>ART.4 Altri servizi connessi alla manutenzione ordinaria di NUOVI IMPIANTI</t>
  </si>
  <si>
    <t>SILOS</t>
  </si>
  <si>
    <t xml:space="preserve">                                                 • A2-C</t>
  </si>
  <si>
    <t>COSTI ART.5 MANUTENZIONE STRAORDINARIA IMPIANTI</t>
  </si>
  <si>
    <t xml:space="preserve">                                                             • A2-CBA</t>
  </si>
  <si>
    <t>Totale COSTI a misura ART.5 anno RIF.TO BUDGET</t>
  </si>
  <si>
    <t>02/05/0010</t>
  </si>
  <si>
    <t xml:space="preserve">                                                             • A2-CBP</t>
  </si>
  <si>
    <t>Totale COSTI a misura ART.5 anni PRECEDENTI BUDGET</t>
  </si>
  <si>
    <t>02/05/0009</t>
  </si>
  <si>
    <t>mancano da spendere 26.505 €</t>
  </si>
  <si>
    <t xml:space="preserve">                                                                         • 02/05/0007</t>
  </si>
  <si>
    <t>02/05/0007</t>
  </si>
  <si>
    <t>finito</t>
  </si>
  <si>
    <t xml:space="preserve">                                                                         • 02/05/0002</t>
  </si>
  <si>
    <t>02/05/0002</t>
  </si>
  <si>
    <t>ART.5 2019 SOMME a disposizione per interventi non programmabili</t>
  </si>
  <si>
    <t xml:space="preserve">                                                             • A2-CAP</t>
  </si>
  <si>
    <t>Totale COSTI  a misura ART.5 ALTRI PROGETTI</t>
  </si>
  <si>
    <t xml:space="preserve">                                                                         • 02/05/0008</t>
  </si>
  <si>
    <t>02/05/0008</t>
  </si>
  <si>
    <t xml:space="preserve">                                                 • A3-C</t>
  </si>
  <si>
    <t>COSTI ART.6 INCARICHI</t>
  </si>
  <si>
    <t>COSTI per ALTRI INCARICHI</t>
  </si>
  <si>
    <t xml:space="preserve">                                                             • 02/06/0002</t>
  </si>
  <si>
    <t>01/06/003</t>
  </si>
  <si>
    <t>02/06/0002</t>
  </si>
  <si>
    <t>ART.6 Costi per altri INCARICHI</t>
  </si>
  <si>
    <t>------------------------------&gt;</t>
  </si>
  <si>
    <t>GASPERINI ANNARITA</t>
  </si>
  <si>
    <t>da ricevere - stima (contratto 7000€)</t>
  </si>
  <si>
    <t>02/06/0003</t>
  </si>
  <si>
    <t>ART.6 Costi per incarichi da PNRR</t>
  </si>
  <si>
    <t>CIANI ANDREA</t>
  </si>
  <si>
    <t>da ricevere - stima (contratto 15000€)</t>
  </si>
  <si>
    <t>Costi per avvio ATTIVITA?</t>
  </si>
  <si>
    <t>FERRETTI ALDO</t>
  </si>
  <si>
    <t>da ricevere - stima (contratto 10000€)</t>
  </si>
  <si>
    <t xml:space="preserve">                                                 • A4-C</t>
  </si>
  <si>
    <t>COSTI ART.7 UTENZE DI ENERGIA ELETTRICA IMPIANTI FOTOVOLTAICI</t>
  </si>
  <si>
    <t>COMITEL</t>
  </si>
  <si>
    <t>datacenter SILOS</t>
  </si>
  <si>
    <t xml:space="preserve">                                                             • 02/07/0001</t>
  </si>
  <si>
    <t>02/07/0001</t>
  </si>
  <si>
    <t>ART.7 Costi per UTENZE impianti fotovoltaici</t>
  </si>
  <si>
    <t xml:space="preserve">                                                             • 02/07/0002</t>
  </si>
  <si>
    <t>02/07/0002</t>
  </si>
  <si>
    <t>ART.7 AUTOCONSUMO</t>
  </si>
  <si>
    <t xml:space="preserve">                                                             • 02/07/0003</t>
  </si>
  <si>
    <t>02/07/0003</t>
  </si>
  <si>
    <t>ART.7 SERVIZI, manutenzione, verifiche, forniture impianti FOTOVOLTAICI</t>
  </si>
  <si>
    <t>costo per SILOS</t>
  </si>
  <si>
    <t xml:space="preserve">                                                 • A5-C</t>
  </si>
  <si>
    <t>COSTI ART.9 SERVIZI DI GESTIONE E MANUTENZIONE IMPIANTI TERMICI</t>
  </si>
  <si>
    <t xml:space="preserve">                                                             • 02/09/0001</t>
  </si>
  <si>
    <t>02/09/0001</t>
  </si>
  <si>
    <t>1A+1B</t>
  </si>
  <si>
    <t>02/09/0004</t>
  </si>
  <si>
    <t>ART.9 Servizio di Gestione e Manutenzione IMPIANTI TERMICI: SICUREZZA</t>
  </si>
  <si>
    <t>02/09/0003</t>
  </si>
  <si>
    <t>2+5+6+7E (GIAMPAOLO)</t>
  </si>
  <si>
    <t>COSTI per Gestione e Manutenzione IMPIANTI TERMICI: ENTI ESTERNI</t>
  </si>
  <si>
    <t>02/09/0005</t>
  </si>
  <si>
    <t>ART.9 Servizio di Gestione e Manutenzione IMPIANTI TERMICI: ENTI ESTERNI</t>
  </si>
  <si>
    <t>--------------------------------------------------------------------&gt;</t>
  </si>
  <si>
    <t>anno 2023 (stima michela)</t>
  </si>
  <si>
    <t>02/09/0006</t>
  </si>
  <si>
    <t>ART.9 Servizio Gestione e Manutenzione IMPIANTI TERMICI: PRESTAZIONI EXTRA CANONE</t>
  </si>
  <si>
    <t>???</t>
  </si>
  <si>
    <t>bollini</t>
  </si>
  <si>
    <t xml:space="preserve">                                                 • A6-C</t>
  </si>
  <si>
    <t>COSTI ART.16 SERVIZI GENERALI</t>
  </si>
  <si>
    <t xml:space="preserve">                                                             • 02/16/0001</t>
  </si>
  <si>
    <t>02/16/0001</t>
  </si>
  <si>
    <t>ART.16 Certificazione ESCo UNI-11352</t>
  </si>
  <si>
    <t xml:space="preserve">                                     • COS_B</t>
  </si>
  <si>
    <t>COSTI manutenzione e gestione BIBLIOTECA MALATESTIANA</t>
  </si>
  <si>
    <t xml:space="preserve">                                                 • 02/20/0001</t>
  </si>
  <si>
    <t>02/20/0001</t>
  </si>
  <si>
    <t>BM Interventi imprevedibili e urgenti impianti e Desigo BIBLIOTECA</t>
  </si>
  <si>
    <t>02/20/0002</t>
  </si>
  <si>
    <t xml:space="preserve">                                     • COS_C</t>
  </si>
  <si>
    <t>COSTI convenzione MAN- IP-CIMITERI</t>
  </si>
  <si>
    <t>COSTI per MANUTENZIONE TELECAMERE CONTRATTO R SICUREZZA</t>
  </si>
  <si>
    <t xml:space="preserve">                                                 • 02/30/0001</t>
  </si>
  <si>
    <t>02/30/0001</t>
  </si>
  <si>
    <t>MAN Costi per gestione e manutenzione rete MAN e videosorveglianza</t>
  </si>
  <si>
    <t>------------------&gt;</t>
  </si>
  <si>
    <t>Manutenzione primo semestre</t>
  </si>
  <si>
    <t xml:space="preserve">                                                 • 02/30/0002</t>
  </si>
  <si>
    <t>02/30/0002</t>
  </si>
  <si>
    <t>MAN Costi per servizio impianti ILLUMINAZIONE PUBBLICA</t>
  </si>
  <si>
    <t>Per manutenzioni programmate ad ottobre</t>
  </si>
  <si>
    <t xml:space="preserve">                                                 • 02/30/0003</t>
  </si>
  <si>
    <t>02/30/0003</t>
  </si>
  <si>
    <t>MAN Costi per servizio impianti CIMITERI</t>
  </si>
  <si>
    <t>per lavoro programmato sostituzione cavo</t>
  </si>
  <si>
    <t xml:space="preserve">                                     • COS_D</t>
  </si>
  <si>
    <t>COSTI per CONTRATTI DI RENDIMENTO ENERGETICO</t>
  </si>
  <si>
    <t>per lavori imprevedibili</t>
  </si>
  <si>
    <t xml:space="preserve">                                                 • 02/40/0001</t>
  </si>
  <si>
    <t>02/40/0001</t>
  </si>
  <si>
    <t>EPC Costi connessi ai CONTRATTI di RENDIMENTO ENERGETICO</t>
  </si>
  <si>
    <t>per lavori Tecnotel Datacenter SILOS</t>
  </si>
  <si>
    <t>coperto da contratto MAN</t>
  </si>
  <si>
    <t>02/40/0002</t>
  </si>
  <si>
    <t>EPC Costi incarichi connessi ai CONTRATTI di RENDIMENTO ENERGETICO</t>
  </si>
  <si>
    <t xml:space="preserve">                                     • COS_E</t>
  </si>
  <si>
    <t>COSTI per TITOLI DI EFFICIENZA ENERGETICA</t>
  </si>
  <si>
    <t xml:space="preserve">                                                 • 02/50/0001</t>
  </si>
  <si>
    <t>02/50/0001</t>
  </si>
  <si>
    <t>TEE Costi connessi al funzionamento dei TITOLI di EFFICIENZA ENERGETICA</t>
  </si>
  <si>
    <t xml:space="preserve">                                     • COS_F</t>
  </si>
  <si>
    <t>COSTI per SPORTELLO ENERGIA</t>
  </si>
  <si>
    <t xml:space="preserve">                                                 • 02/60/0001</t>
  </si>
  <si>
    <t>02/60/0001</t>
  </si>
  <si>
    <t>EXC Costi connessi al funzionamento dello SPORTELLO ENERGIA</t>
  </si>
  <si>
    <t>-----------------------------------&gt;</t>
  </si>
  <si>
    <t>LIBRERIE GIUNTI S.R.L.</t>
  </si>
  <si>
    <t>Libreria Giunti - ZDD3AC0AE9 - Fornitura di materiale divulgativo per attività formative dello sportello energia - progetto ""Energy Saving Sprint Cesena"</t>
  </si>
  <si>
    <t xml:space="preserve">                                     • COS_G</t>
  </si>
  <si>
    <t>COSTI per servizi a ENTI ESTERNI E ORG. PUBBLICI</t>
  </si>
  <si>
    <t>DOTTI MICHELE</t>
  </si>
  <si>
    <t>Michele Dotti - Z5C37BF6A2 - SERVIZIO PER LA PROGETTAZIONE E REALIZZAZIONE DEL PROGETTO FORMATIVO / CHALLANGE ENERGY SAVING SPRINT CESENA NELLE SCUOLE</t>
  </si>
  <si>
    <t xml:space="preserve">                                                 • 02/70/0001</t>
  </si>
  <si>
    <t>02/70/0001</t>
  </si>
  <si>
    <t>Costi connessi al PAESC</t>
  </si>
  <si>
    <t>CASADEI THOMAS</t>
  </si>
  <si>
    <t>THOMAS CASADEI - ZD72FF699B - Servizio di mantenimento siti internet e altri servizi informatici connessi</t>
  </si>
  <si>
    <t xml:space="preserve">                                                 • 02/70/0002</t>
  </si>
  <si>
    <t>02/70/0002</t>
  </si>
  <si>
    <t>Costi per servizi ad altri ENTI</t>
  </si>
  <si>
    <t>TUTTI INSIEME TUTTI GREEN Thomas Casadei -  ZB039AE016-J19I23000030006 - Servizio per la realizzazione del sistema di lettura facilitata sul sito dello Sportello ExC</t>
  </si>
  <si>
    <t xml:space="preserve">                         • 7_COSTSERV</t>
  </si>
  <si>
    <t>Per servizi</t>
  </si>
  <si>
    <t>CISE</t>
  </si>
  <si>
    <t>TUTTI INSIEME TUTTI GREEN</t>
  </si>
  <si>
    <t xml:space="preserve">                                     • COS_H</t>
  </si>
  <si>
    <t>COSTI per SERVIZI</t>
  </si>
  <si>
    <t>DOTPRINT</t>
  </si>
  <si>
    <t>TUTTI INSIEME TUTTI GREEN - CASINE</t>
  </si>
  <si>
    <t xml:space="preserve">                                                 • 02/16/0002</t>
  </si>
  <si>
    <t>02/16/0002</t>
  </si>
  <si>
    <t>ART.16 Servizi amministrativi e CONTABILI e redazione PEF</t>
  </si>
  <si>
    <t>COSTI PER ART.16 Servizio L.190 - MOD 231 - ODV - LEGALI- Privacy</t>
  </si>
  <si>
    <t xml:space="preserve">                                                 • 02/16/0003</t>
  </si>
  <si>
    <t>02/16/0003</t>
  </si>
  <si>
    <t>ART.16 Servizi PAGHE</t>
  </si>
  <si>
    <t>COSTI PER SERVIZI PROFESSIONALI</t>
  </si>
  <si>
    <t>FANTINI ANDREA</t>
  </si>
  <si>
    <t>da ricevere</t>
  </si>
  <si>
    <t xml:space="preserve">                                                 • 02/16/0004</t>
  </si>
  <si>
    <t>02/16/0004</t>
  </si>
  <si>
    <t>ART.16 Servizio L.190 - MOD 231 - ODV - LEGALI- Privacy</t>
  </si>
  <si>
    <t>------------------------------------</t>
  </si>
  <si>
    <t>INTESO INGEGNERIA SRL</t>
  </si>
  <si>
    <t>INTESO - Z013BAA011 - Servizio di redazione e rilascio di Attestati di Prestazione Energetica ai sensi della D.G.R. 1275/2015</t>
  </si>
  <si>
    <t>--------------------&gt;</t>
  </si>
  <si>
    <t>GRANDI AUGUSTO</t>
  </si>
  <si>
    <t xml:space="preserve">                                                 • 02/16/0005</t>
  </si>
  <si>
    <t>02/16/0005</t>
  </si>
  <si>
    <t>ART.16 Servizi PROFESSIONALI</t>
  </si>
  <si>
    <t>CALANDRINI PAOLO</t>
  </si>
  <si>
    <t>CALANDRINI - ZF63AC2D1A - Incarico professionale per la redazione di valutazione rischio incendio ed asseverazione L.R. n.19 del 2008 per  Intervento di realizzazione impianti fotovoltaici c/o gli edifici “Istituto Professionale di Stato VERSARI MACRELLI, Palestra Ippodromo, Pales</t>
  </si>
  <si>
    <t>GUIDUCCI ELENA</t>
  </si>
  <si>
    <t>da ricevere - stima</t>
  </si>
  <si>
    <t xml:space="preserve">                                                 • 02/16/0006</t>
  </si>
  <si>
    <t>02/16/0006</t>
  </si>
  <si>
    <t>ART.16 Sito INTERNET</t>
  </si>
  <si>
    <t>NOTAIO</t>
  </si>
  <si>
    <t xml:space="preserve">                                                 • 02/16/0007</t>
  </si>
  <si>
    <t>02/16/0007</t>
  </si>
  <si>
    <t>ART.16 CANCELLERIA e stampati</t>
  </si>
  <si>
    <t>stima</t>
  </si>
  <si>
    <t>COSTI PER NOLEGGIO AUTO</t>
  </si>
  <si>
    <t xml:space="preserve">                                                 • 02/16/0008</t>
  </si>
  <si>
    <t>02/16/0008</t>
  </si>
  <si>
    <t>ART.16 Servizi SICUREZZA sul lavoro</t>
  </si>
  <si>
    <t>Program + Promed + lavoro aggiuntivo per SILos???</t>
  </si>
  <si>
    <t>ES MOBILITY</t>
  </si>
  <si>
    <t>fino al 08/01</t>
  </si>
  <si>
    <t xml:space="preserve">                                                 • 02/16/0009</t>
  </si>
  <si>
    <t>02/16/0009</t>
  </si>
  <si>
    <t>ART.16 POSTALI e telegrafiche</t>
  </si>
  <si>
    <t>gennaio</t>
  </si>
  <si>
    <t xml:space="preserve">                                                 • 02/16/0010</t>
  </si>
  <si>
    <t>02/16/0010</t>
  </si>
  <si>
    <t>ART.16 Spese VARIE</t>
  </si>
  <si>
    <t>stima mettere anche 100 € per EDILCLIMA corsi</t>
  </si>
  <si>
    <t>febbraio</t>
  </si>
  <si>
    <t xml:space="preserve">                                                 • 02/16/0011</t>
  </si>
  <si>
    <t>02/16/0011</t>
  </si>
  <si>
    <t>ART.16 ASSICURAZIONI</t>
  </si>
  <si>
    <t>marzo</t>
  </si>
  <si>
    <t xml:space="preserve">                                                 • 02/16/0012</t>
  </si>
  <si>
    <t>02/16/0012</t>
  </si>
  <si>
    <t>ART.16 Spese BANCA</t>
  </si>
  <si>
    <t>aprile</t>
  </si>
  <si>
    <t>02/16/0024</t>
  </si>
  <si>
    <t>ART.16 NOLEGGIO AUTO</t>
  </si>
  <si>
    <t>maggio</t>
  </si>
  <si>
    <t>02/16/0025</t>
  </si>
  <si>
    <t>ART.16 BUONI PASTO</t>
  </si>
  <si>
    <t>giugno</t>
  </si>
  <si>
    <t>02/16/0026</t>
  </si>
  <si>
    <t>ART.16 VIGILANZA</t>
  </si>
  <si>
    <t>luglio - stima</t>
  </si>
  <si>
    <t xml:space="preserve">                                     • COS_I</t>
  </si>
  <si>
    <t>COSTI per AMMINISTRATORI E COLLEGIO</t>
  </si>
  <si>
    <t>UNIPOL RENTAL</t>
  </si>
  <si>
    <t>luglio</t>
  </si>
  <si>
    <t xml:space="preserve">                                                 • 02/16/0013</t>
  </si>
  <si>
    <t>01/16/003</t>
  </si>
  <si>
    <t>02/16/0013</t>
  </si>
  <si>
    <t>ART.16 Compensi AMMINISTRATORI</t>
  </si>
  <si>
    <t>agosto</t>
  </si>
  <si>
    <t xml:space="preserve">                                                 • 02/16/0014</t>
  </si>
  <si>
    <t>02/16/0014</t>
  </si>
  <si>
    <t>ART.16 Compenso SINDACI e revisori</t>
  </si>
  <si>
    <t>settembre</t>
  </si>
  <si>
    <t xml:space="preserve">                         • 8_BENIT</t>
  </si>
  <si>
    <t>Per godimento di beni di terzi</t>
  </si>
  <si>
    <t>ottobre</t>
  </si>
  <si>
    <t xml:space="preserve">                         • 9_PERS</t>
  </si>
  <si>
    <t>Per il Personale</t>
  </si>
  <si>
    <t>novembre</t>
  </si>
  <si>
    <t xml:space="preserve">                                     • 02/16/0015</t>
  </si>
  <si>
    <t>01/16/002</t>
  </si>
  <si>
    <t>02/16/0015</t>
  </si>
  <si>
    <t>ART.16 Salari e STIPENDI</t>
  </si>
  <si>
    <t>Tolti i 29000 da capitalizzare</t>
  </si>
  <si>
    <t>dicembre</t>
  </si>
  <si>
    <t xml:space="preserve">                                     • 02/16/0016</t>
  </si>
  <si>
    <t>02/16/0016</t>
  </si>
  <si>
    <t>ART.16 TFR - Trattamento di Fine Rapporto</t>
  </si>
  <si>
    <t xml:space="preserve">                         • 10_AMMSVAL</t>
  </si>
  <si>
    <t>Ammortamenti e svalutazioni</t>
  </si>
  <si>
    <t>COSTI PER BUONI PASTO</t>
  </si>
  <si>
    <t xml:space="preserve">                                     • 02/80/0001</t>
  </si>
  <si>
    <t>08/01/001</t>
  </si>
  <si>
    <t>02/80/0001</t>
  </si>
  <si>
    <t>Ammortamento immobilizzazioni immateriali</t>
  </si>
  <si>
    <t>DAY SPA</t>
  </si>
  <si>
    <t>GENNAIO</t>
  </si>
  <si>
    <t xml:space="preserve">                                     • 02/80/0002</t>
  </si>
  <si>
    <t>02/80/0002</t>
  </si>
  <si>
    <t>Ammortamento immobilizzazioni materiali</t>
  </si>
  <si>
    <t>FEBBRAIO</t>
  </si>
  <si>
    <t xml:space="preserve">                                     • 02/80/0003</t>
  </si>
  <si>
    <t>02/80/0003</t>
  </si>
  <si>
    <t>Altre svalutazioni delle immobilizzazioni</t>
  </si>
  <si>
    <t>MARZO</t>
  </si>
  <si>
    <t xml:space="preserve">                                     • 02/80/0004</t>
  </si>
  <si>
    <t>02/80/0004</t>
  </si>
  <si>
    <t>Svalutazione dei crediti compresi nell attivo circolante e delle disponibilità l</t>
  </si>
  <si>
    <t>APRILE</t>
  </si>
  <si>
    <t xml:space="preserve">                         • 11_RIMAN</t>
  </si>
  <si>
    <t>Variazione delle rimanenze di M.P., sussidiarie, di consumo e di merci</t>
  </si>
  <si>
    <t>MAGGIO</t>
  </si>
  <si>
    <t xml:space="preserve">                         • 12_ACCANT</t>
  </si>
  <si>
    <t>Accantonamenti per rischi</t>
  </si>
  <si>
    <t>GIUGNO</t>
  </si>
  <si>
    <t xml:space="preserve">                         • 13_ALTRIACC</t>
  </si>
  <si>
    <t>Altri accantonamenti</t>
  </si>
  <si>
    <t>LUGLIO</t>
  </si>
  <si>
    <t xml:space="preserve">                         • 14_ONGEST</t>
  </si>
  <si>
    <t>Oneri diversi di gestione</t>
  </si>
  <si>
    <t>AGOSTO - STIMA</t>
  </si>
  <si>
    <t xml:space="preserve">                                     • 02/16/0017</t>
  </si>
  <si>
    <t>02/16/0017</t>
  </si>
  <si>
    <t>ART.16 ARROTONDAMENTI passivi</t>
  </si>
  <si>
    <t>SETTEMBRE - STIMA</t>
  </si>
  <si>
    <t xml:space="preserve">                                     • 02/16/0018</t>
  </si>
  <si>
    <t>02/16/0018</t>
  </si>
  <si>
    <t>ART.16 SOPRAVVENIENZE Passive</t>
  </si>
  <si>
    <t>OTTOBRE - STIMA</t>
  </si>
  <si>
    <t xml:space="preserve">                                     • 02/16/0019</t>
  </si>
  <si>
    <t>02/16/0019</t>
  </si>
  <si>
    <t>ART.16 IMPOSTE tasse deducibili</t>
  </si>
  <si>
    <t>NOVEMBRE - STIMA</t>
  </si>
  <si>
    <t xml:space="preserve">                                     • 02/16/0020</t>
  </si>
  <si>
    <t>02/16/0020</t>
  </si>
  <si>
    <t>ART.16 TASSE di concessione governative</t>
  </si>
  <si>
    <t>DICEMBRE - STIMA</t>
  </si>
  <si>
    <t xml:space="preserve">                                     • 02/16/0021</t>
  </si>
  <si>
    <t>02/16/0021</t>
  </si>
  <si>
    <t>ART.16 Valori BOLLATI e diritti CCIAA</t>
  </si>
  <si>
    <t xml:space="preserve">                                     • 02/16/0022</t>
  </si>
  <si>
    <t>02/16/0022</t>
  </si>
  <si>
    <t>ART.16 MINUSVALENZE da vendita cespiti</t>
  </si>
  <si>
    <t xml:space="preserve">                                     • 02/16/0023</t>
  </si>
  <si>
    <t>02/16/0023</t>
  </si>
  <si>
    <t>ART.16 IMPOSTE e tasse indeducibili</t>
  </si>
  <si>
    <t xml:space="preserve">             • DIFF_RC</t>
  </si>
  <si>
    <t xml:space="preserve">DIFFERENZA TRA VALORE E COSTI ([A_VALPROD] + [B_COSTPROD]) </t>
  </si>
  <si>
    <t xml:space="preserve">             • C_PROV</t>
  </si>
  <si>
    <t>PROVENTI E ONERI FINANZIARI</t>
  </si>
  <si>
    <t xml:space="preserve">                         • 16_PROV</t>
  </si>
  <si>
    <t>Altri proventi finanziari</t>
  </si>
  <si>
    <t xml:space="preserve">                                     • 01/10/0001</t>
  </si>
  <si>
    <t>01/10/001</t>
  </si>
  <si>
    <t>01/10/0001</t>
  </si>
  <si>
    <t>Altri proventi</t>
  </si>
  <si>
    <t xml:space="preserve">             • RIS_PRIMP</t>
  </si>
  <si>
    <t xml:space="preserve">RISULTATO PRIMA DELLE IMPOSTE ([DIFF_RC] + [C_PROV]) </t>
  </si>
  <si>
    <t xml:space="preserve">             • 22_IMP</t>
  </si>
  <si>
    <t>Imposte sul reddito</t>
  </si>
  <si>
    <t xml:space="preserve">                         • 02/80/0005</t>
  </si>
  <si>
    <t>02/80/0005</t>
  </si>
  <si>
    <t xml:space="preserve">             • RIS_NETTO</t>
  </si>
  <si>
    <t xml:space="preserve">RISULTATO NETTO ([DIFF_RC] + [22_IMP]) </t>
  </si>
  <si>
    <t>CONTABILITA' 20/10</t>
  </si>
  <si>
    <t>BUDGET CON RICAVI SENZA PARTITE INCERTE</t>
  </si>
  <si>
    <t>risparmi 2024 rev gio</t>
  </si>
  <si>
    <t>01/05/0011</t>
  </si>
  <si>
    <t>ART.5 2024 Manutenzione STRAORDINARIA impianti</t>
  </si>
  <si>
    <t>foro annonario MECC+foro annonario ELET+MAT ponte pietra</t>
  </si>
  <si>
    <t>sembrerebbe un progetto morto</t>
  </si>
  <si>
    <t>ART.6 MAN progettazione e DL parte attiva</t>
  </si>
  <si>
    <t>ART.6 "Un'altra stazione 5.0"</t>
  </si>
  <si>
    <t>ART.6 "PARCO AUTOSTAZIONE - PNRR" direzione operativa impianti</t>
  </si>
  <si>
    <t>01/09/0006</t>
  </si>
  <si>
    <t>ART.9 Servizio di gestione e manutenzione IMPIANTI TERMICI: conguagli bollini e verifiche AUSL</t>
  </si>
  <si>
    <t>Unione VALLESAVIO - Impianti Montiano</t>
  </si>
  <si>
    <t>UNICA RETI - Servizi Energetici</t>
  </si>
  <si>
    <t>ATR - Servizi Energetici</t>
  </si>
  <si>
    <t>Comune di GAMBETTOLA- Servizio gestione calore</t>
  </si>
  <si>
    <t xml:space="preserve">                                     • RIC_J</t>
  </si>
  <si>
    <t>RICAVI per ILLUMINAZIONE VOTIVA</t>
  </si>
  <si>
    <t xml:space="preserve">                                     • RIC_K</t>
  </si>
  <si>
    <t>RICAVI per PARCHEGGI IN STRUTTURA</t>
  </si>
  <si>
    <t xml:space="preserve">ATR - manutenzione ordinaria SILOS interrati </t>
  </si>
  <si>
    <t xml:space="preserve">CONDOMINI - manutenzione ordinaria SILOS interrati </t>
  </si>
  <si>
    <t>AUTOCONSUMO</t>
  </si>
  <si>
    <t>ECCEDENZE</t>
  </si>
  <si>
    <t>SSP</t>
  </si>
  <si>
    <t>TARIFFA</t>
  </si>
  <si>
    <t>Stimati 18/09/2023</t>
  </si>
  <si>
    <t>spostato tutto nella VdS atr9 02090007</t>
  </si>
  <si>
    <t>RISPARMI DA CONTROLLI uo-2024 DEGLI IMP. ANTINTRUSIONE DA lug 2024: CERTIFICAZIONI/ABILITAZIONI AZIENDALI?</t>
  </si>
  <si>
    <t>5000 materiali + 6000 primo sem (nostra uo-2024 DAL 1/7/2024</t>
  </si>
  <si>
    <t>ART.4 Gestione impianti piazza della LIBERTA + PANATHLON e GIARDINO pubblico</t>
  </si>
  <si>
    <t>02/05/0011</t>
  </si>
  <si>
    <t>02/05/0003</t>
  </si>
  <si>
    <t>datacenter SILOS - parte di contratto</t>
  </si>
  <si>
    <t>3T Trobbiani</t>
  </si>
  <si>
    <t>Collegamento sistema di comunicazione audio</t>
  </si>
  <si>
    <t>Readytec</t>
  </si>
  <si>
    <t>Stimati 2 mesi di canone annuo + 25 ore uomo di lavoro</t>
  </si>
  <si>
    <t>Maltoni</t>
  </si>
  <si>
    <t>Servizio notarile</t>
  </si>
  <si>
    <t>Parcheggi SPA</t>
  </si>
  <si>
    <t>Servizio di assistenza tecnica per attività connesse alla manutenzione di autosilo interrati tipo “TREVIPARK</t>
  </si>
  <si>
    <t>Placci</t>
  </si>
  <si>
    <t>acustica OIR</t>
  </si>
  <si>
    <t>02/09/0007</t>
  </si>
  <si>
    <t>spostato dalla VdS 02040003</t>
  </si>
  <si>
    <t>Tecnotel Parte Silos</t>
  </si>
  <si>
    <t>coperto da contratto MAN a rendicontazione</t>
  </si>
  <si>
    <t>Comitel per parte Silos</t>
  </si>
  <si>
    <t>Dotprint Targhette cimiteri.  Preventivo 35 targhe in forex per cimiteri</t>
  </si>
  <si>
    <t>asciugatori - stima Simone</t>
  </si>
  <si>
    <t xml:space="preserve">                                     • COS_J</t>
  </si>
  <si>
    <t>COSTI per ILLUMINAZIONE VOTIVA</t>
  </si>
  <si>
    <t>VOTIVA Manutenzione impianti elevatori e ponti mobili</t>
  </si>
  <si>
    <t>montaferetri solo fino a giu-2024 + ascensori 12 mesi</t>
  </si>
  <si>
    <t>VOTIVA verifica ente notificato (indagini montaferetri ogni 10 anni)</t>
  </si>
  <si>
    <t>VOTIVA verifiche elevatori ASL</t>
  </si>
  <si>
    <t>nostra UO2024 da 1/7/2024</t>
  </si>
  <si>
    <t>da giungo fatta da UO-2024</t>
  </si>
  <si>
    <t>VOTIVA Manutenzione impianti speciali e cancelli</t>
  </si>
  <si>
    <t>VOTIVA efficientamenti H2o + lampade</t>
  </si>
  <si>
    <t>costi per contatori H2O e sostituzine LV solo acquisto +idraulico + edile</t>
  </si>
  <si>
    <t xml:space="preserve">                                     • COS_K</t>
  </si>
  <si>
    <t>COSTI per PARCHEGGI IN STRUTTURA</t>
  </si>
  <si>
    <t>PARCHEGGI Collegamento dati, telefoni e SIM</t>
  </si>
  <si>
    <t>PARCHEGGI assistenza tecnica SOILMEC</t>
  </si>
  <si>
    <t>FA IL  PAIO CON I 55000 DEI RICAVI (di SOILMEC 50% per interventi SILOS e 50% per assitenza eXc PER REVAMPING</t>
  </si>
  <si>
    <t>PARCHEGGI forniture varie</t>
  </si>
  <si>
    <t>02/16/0027</t>
  </si>
  <si>
    <t>02/16/0028</t>
  </si>
  <si>
    <t>ART.16 Canoni e manutenzioni SOFTWARE</t>
  </si>
  <si>
    <t>AGOSTO</t>
  </si>
  <si>
    <t>SETTEMBRE</t>
  </si>
  <si>
    <t>valore produzione</t>
  </si>
  <si>
    <t xml:space="preserve">solo ALTRI </t>
  </si>
  <si>
    <t>% altri</t>
  </si>
  <si>
    <t>senza art.5 e senza imp.ZERO</t>
  </si>
  <si>
    <t>BUDGET 2024</t>
  </si>
  <si>
    <t>sovrastima</t>
  </si>
  <si>
    <t>Program</t>
  </si>
  <si>
    <t>Comune di Cesena</t>
  </si>
  <si>
    <t>Provincia Forlì-Cesena</t>
  </si>
  <si>
    <t>ATR</t>
  </si>
  <si>
    <t>Altri Enti Esterni</t>
  </si>
  <si>
    <t>Incentivi GSE</t>
  </si>
  <si>
    <t>Condominio Fabbri e Giacomoni</t>
  </si>
  <si>
    <t>Totale Ricavi</t>
  </si>
  <si>
    <t>Budget 2024</t>
  </si>
  <si>
    <t>Preconsuntivo 2023</t>
  </si>
  <si>
    <t>Bilancio 2022</t>
  </si>
  <si>
    <t>CONTABILITA' 
CONSU 30/09</t>
  </si>
  <si>
    <t>ENERGIE PER LA CITTA' SRL CON UNICO SOCIO</t>
  </si>
  <si>
    <t xml:space="preserve"> </t>
  </si>
  <si>
    <t>ATTIVITA'</t>
  </si>
  <si>
    <t>Differenze</t>
  </si>
  <si>
    <t>PASSIVITA'</t>
  </si>
  <si>
    <t>Imm.ni Immateriali</t>
  </si>
  <si>
    <t>Capitale Sociale</t>
  </si>
  <si>
    <t>*Attivo: Diminuite imm.ni con importo amm.ti</t>
  </si>
  <si>
    <t>Riserve</t>
  </si>
  <si>
    <t>Imm.ni Materiali</t>
  </si>
  <si>
    <t>Utili/Perdite d'esercizio</t>
  </si>
  <si>
    <t>Imm.ni Finanziarie</t>
  </si>
  <si>
    <t>Fondi per rischi e oneri</t>
  </si>
  <si>
    <t>Rimanenze</t>
  </si>
  <si>
    <t>TFR</t>
  </si>
  <si>
    <t>Crediti</t>
  </si>
  <si>
    <t>Verso Clienti</t>
  </si>
  <si>
    <t>DEBITI</t>
  </si>
  <si>
    <t>Crediti tributari</t>
  </si>
  <si>
    <t>Debiti v/banche</t>
  </si>
  <si>
    <t>Crediti verso altri</t>
  </si>
  <si>
    <t>Debiti v/fornitori</t>
  </si>
  <si>
    <t>Debiti tributari</t>
  </si>
  <si>
    <t>*Passivo: inserito tasse</t>
  </si>
  <si>
    <t>Mutuo Passivo</t>
  </si>
  <si>
    <t>socio c/finanz.infruttiferi</t>
  </si>
  <si>
    <t>Debiti v/ist.previdenziali</t>
  </si>
  <si>
    <t>Altri debiti</t>
  </si>
  <si>
    <t>Attività finanziarie che non costituiscono imm.ni</t>
  </si>
  <si>
    <t>Disponibilità liquide</t>
  </si>
  <si>
    <t>Ratei /Risconti Attivi</t>
  </si>
  <si>
    <t>Ratei/Risconti Passivi</t>
  </si>
  <si>
    <t>FATTURE DA EMETTERE</t>
  </si>
  <si>
    <t>RATEI ATTIVI</t>
  </si>
  <si>
    <t>FT DA RICEVERE</t>
  </si>
  <si>
    <t>RATEI PASSIVI</t>
  </si>
  <si>
    <t>AMM.TI IMMATERIALI</t>
  </si>
  <si>
    <t>AMM.TI MATERIALI</t>
  </si>
  <si>
    <t>IMPOSTE</t>
  </si>
  <si>
    <t>Bilancio 2021</t>
  </si>
  <si>
    <t>Bilancio 2020</t>
  </si>
  <si>
    <t>eccedenze</t>
  </si>
  <si>
    <t>TFO TPA</t>
  </si>
  <si>
    <t>totale GSE</t>
  </si>
  <si>
    <t>tee</t>
  </si>
  <si>
    <t>premio innovatori</t>
  </si>
  <si>
    <t>atr</t>
  </si>
  <si>
    <t>gse</t>
  </si>
  <si>
    <t>altre partite (sopravvenienze e contributi)</t>
  </si>
  <si>
    <t>asciugatori</t>
  </si>
  <si>
    <t>epc</t>
  </si>
  <si>
    <t>BM</t>
  </si>
  <si>
    <t>autoconsumo</t>
  </si>
  <si>
    <t>conv. Princ</t>
  </si>
  <si>
    <t>enti ext</t>
  </si>
  <si>
    <t>corsi sicurezza aggiuntivi</t>
  </si>
  <si>
    <t>Cosa</t>
  </si>
  <si>
    <t>impostazione software bill audit</t>
  </si>
  <si>
    <t>CEI</t>
  </si>
  <si>
    <t xml:space="preserve">PES PAV </t>
  </si>
  <si>
    <t>modifiche</t>
  </si>
  <si>
    <t>ART.16 Convenzione L.68</t>
  </si>
  <si>
    <t>era stato considerato IVA inclusa</t>
  </si>
  <si>
    <t>09/01/001</t>
  </si>
  <si>
    <t>02/90/0001</t>
  </si>
  <si>
    <t>02/90/0002</t>
  </si>
  <si>
    <t>02/90/0003</t>
  </si>
  <si>
    <t>02/90/0004</t>
  </si>
  <si>
    <t>02/90/0005</t>
  </si>
  <si>
    <t>01/06/0033</t>
  </si>
  <si>
    <t>01/06/0034</t>
  </si>
  <si>
    <t>01/06/0035</t>
  </si>
  <si>
    <t>01/06/0036</t>
  </si>
  <si>
    <t>01/90/0001</t>
  </si>
  <si>
    <t>01/90/0002</t>
  </si>
  <si>
    <t>01/90/0003</t>
  </si>
  <si>
    <t>10/01/001</t>
  </si>
  <si>
    <t>02/10/0001</t>
  </si>
  <si>
    <t>02/10/0002</t>
  </si>
  <si>
    <t>02/10/0003</t>
  </si>
  <si>
    <t>02/10/0004</t>
  </si>
  <si>
    <t>02/10/0005</t>
  </si>
  <si>
    <t>02/10/0006</t>
  </si>
  <si>
    <t>ricevute:</t>
  </si>
  <si>
    <t>legata alla determina dei 18000 del 2017</t>
  </si>
  <si>
    <t>Novità - chiedere il rimborso a conguaglio - 9000 recuperati da incarico por-fers non sottoscritto (accordo con giovanni del 05/02/2024)</t>
  </si>
  <si>
    <t>01/90/0004</t>
  </si>
  <si>
    <t>11/01/001</t>
  </si>
  <si>
    <t>ATR - manutenzione straordinaria e interventi di ripristino</t>
  </si>
  <si>
    <t>CONDOMINI - manutenzione straordinaria e interventi di ripristino</t>
  </si>
  <si>
    <t>02/90/0006</t>
  </si>
  <si>
    <t>02/90/0007</t>
  </si>
  <si>
    <t>VDS alimentate dai rapportini al costo medio. A fine anno la differenza fra valorizzazione al costo effettivo e valorizzazione al costo medio va spalmata in percentuale su tutte le VdS alimentate dai rapportini</t>
  </si>
  <si>
    <t>CONTRATTI</t>
  </si>
  <si>
    <t>CONTABILITA' AL ----</t>
  </si>
  <si>
    <t>COMPETENZE AL 30/06</t>
  </si>
  <si>
    <t>PRECONSUNTIVO 2024</t>
  </si>
  <si>
    <t>01/06/0037</t>
  </si>
  <si>
    <t>ART.6 APE ante e post intervento infanzia Torre del Moro - BUDGET 2025</t>
  </si>
  <si>
    <t>riqualificazione P.le Karl marx</t>
  </si>
  <si>
    <t>Forse si può fatturare anche il 50%</t>
  </si>
  <si>
    <t>Si può fatturare  il 50%</t>
  </si>
  <si>
    <t>incarico ancora da ricevere</t>
  </si>
  <si>
    <t>Nuova convenzione CIMITERI - illuminazione VOTIVA</t>
  </si>
  <si>
    <t>VOTIVA- Nuovi allacci lumini cimiteri e manutenzione straordinaria</t>
  </si>
  <si>
    <t>01/10/0002</t>
  </si>
  <si>
    <t>Non considerato ARTER - tutto fermo</t>
  </si>
  <si>
    <t>fatturato marzo-luglio*2</t>
  </si>
  <si>
    <t>V conto TPA+TFO</t>
  </si>
  <si>
    <t>IV conto</t>
  </si>
  <si>
    <t>Prendere valore consu</t>
  </si>
  <si>
    <t>inserito tutto il prenotato e il residuo di 8493,17 fino ad esaurimento CUP</t>
  </si>
  <si>
    <t>inserito tutto il prenotato e il residuo di  3128,28 fino ad esaurimento CUP</t>
  </si>
  <si>
    <t>ATTENZIONE recupero somma fatturata in anticipo (2023) rispetto al costo sostenuto!!!</t>
  </si>
  <si>
    <t>02/10/0007</t>
  </si>
  <si>
    <t>02/10/0008</t>
  </si>
  <si>
    <t>02/10/0009</t>
  </si>
  <si>
    <t>02/10/0010</t>
  </si>
  <si>
    <t>02/10/0011</t>
  </si>
  <si>
    <t>VOTIVA - Manutenzione STRAORDINARIA VOTIVA</t>
  </si>
  <si>
    <t>VOTIVA - NUOVI ALLACCI lumini cimiteri</t>
  </si>
  <si>
    <t>VOTIVA - Manutenzione ordinaria CANCELLI</t>
  </si>
  <si>
    <t>VOTIVA - Manutenzione ordinaria MONTAFERETRI</t>
  </si>
  <si>
    <t>VOTIVA - Materiale per GUASTI</t>
  </si>
  <si>
    <t>VOTIVA - Efficientamento</t>
  </si>
  <si>
    <t>02/16/0029</t>
  </si>
  <si>
    <t>ART.16 Smaltimento rifiuti</t>
  </si>
  <si>
    <t>inglobato nel contratto generale AUSL 0204008 e PESARO 0204007</t>
  </si>
  <si>
    <t>02/07/0004</t>
  </si>
  <si>
    <t>ART.7 Manutenzione ordinaria FOTOVOLTAICO UO</t>
  </si>
  <si>
    <t>01/80/0001</t>
  </si>
  <si>
    <t>tolto il progetto della Materna Ponte Pietra</t>
  </si>
  <si>
    <t>Ipotesi investimento 100k</t>
  </si>
  <si>
    <t>Contratto SOEL fino al 30/06</t>
  </si>
  <si>
    <t>Costi fino al 30/06 + previsioni Simone</t>
  </si>
  <si>
    <t>Lavori CAIEC 100% + 2000 materiale Elfi + 6968 materiale elfi già fatturato</t>
  </si>
  <si>
    <t>Ai costi sono stati aggiunti 5000€ per addebito costi manod'opera nostra Centrale Operativa</t>
  </si>
  <si>
    <t>77000 per lavori stimati da Simone+ 3500 stimati da Luksz per contratto Mordenti</t>
  </si>
  <si>
    <t>conguaglio+bollini (stimato 7000€ + 15000/1,22 per  prestazioni aggiuntive supporto tecnico proposte a montanari ad aprile)</t>
  </si>
  <si>
    <t>Contratto 3T trobbiani - Filo</t>
  </si>
  <si>
    <t>Servizio di manutenzione periodica umidificatori "Villa Silvia-Cesena"</t>
  </si>
  <si>
    <t>SAEC+Clima per impianti foro</t>
  </si>
  <si>
    <t>IN.te.so Ingegneria srl</t>
  </si>
  <si>
    <t>ING. PLACCI ALESSANDRO</t>
  </si>
  <si>
    <t>3T DI TROBBIANI TIZIANO</t>
  </si>
  <si>
    <t>STUDIO FERRETTI ALDO</t>
  </si>
  <si>
    <t>(contratto Z6E3BB5C48 residuo 1737,60€)</t>
  </si>
  <si>
    <t>(contratto Z6B3CA0E83 residuo 392€))</t>
  </si>
  <si>
    <t>(contratto Z5C3433416 residuo 5200€)</t>
  </si>
  <si>
    <t>da ricevere - stima (contratto B178BD97FA residuo 1664€)</t>
  </si>
  <si>
    <t>(contratto Z5C3433416 residuo 2200€)</t>
  </si>
  <si>
    <t>(contratto Z5C3433416 residuo 5000,04€)</t>
  </si>
  <si>
    <t>Calcolo rate 2024 - Michela Pentericci</t>
  </si>
  <si>
    <t>accorpato con la Vds 0209001</t>
  </si>
  <si>
    <t>Verifiche AUSL + stima conguaglio art.9 e bollini</t>
  </si>
  <si>
    <t>Quota 10.1a 38944,74 lavori SOEL</t>
  </si>
  <si>
    <t>Quota 10.1a 38944,74 lavori SOEL+ Quote 10.3 a e b 46.000+5.572</t>
  </si>
  <si>
    <t>timer per comune</t>
  </si>
  <si>
    <t>Idea fabbro</t>
  </si>
  <si>
    <t>buffet</t>
  </si>
  <si>
    <t>Giunti</t>
  </si>
  <si>
    <t>libri</t>
  </si>
  <si>
    <t>Giogiadis</t>
  </si>
  <si>
    <t>Giorgiadis</t>
  </si>
  <si>
    <t>Dotti</t>
  </si>
  <si>
    <t>CIIAA</t>
  </si>
  <si>
    <t>registrazione marchio</t>
  </si>
  <si>
    <t>Varie</t>
  </si>
  <si>
    <t>targhe….adesivi</t>
  </si>
  <si>
    <t>ELFI</t>
  </si>
  <si>
    <t>THOMAS CASADEI</t>
  </si>
  <si>
    <t>CATENA DI LUCI</t>
  </si>
  <si>
    <t>bazzarro porta pali h2o</t>
  </si>
  <si>
    <t>contratto</t>
  </si>
  <si>
    <t>Contratto sentinelle dello spreco</t>
  </si>
  <si>
    <t>materiale da rapportini</t>
  </si>
  <si>
    <t>Contratti Pesaro e SOEL</t>
  </si>
  <si>
    <t>Contratto CERTIBO</t>
  </si>
  <si>
    <t>Contratto AUSL</t>
  </si>
  <si>
    <t>Contratto mordenti + nuovo contratto ottobre-dicembre</t>
  </si>
  <si>
    <t>Contratto R sicurezza</t>
  </si>
  <si>
    <t>Volevo considerare il 50% della progettazione e DL meno 1800€ per l'APE ma Leoni non vuole</t>
  </si>
  <si>
    <t>02/04/0025</t>
  </si>
  <si>
    <t>02/04/0026</t>
  </si>
  <si>
    <t>02/04/0027</t>
  </si>
  <si>
    <t>ART.4 Manutenzione ordinaria ILLUMINAZIONE DI SICUREZZA</t>
  </si>
  <si>
    <t>ART.4 Manutenzione ordinaria IMPIANTI ELETTRICI</t>
  </si>
  <si>
    <t>02/04/0028</t>
  </si>
  <si>
    <t>ART.4 Manutenzione ordinaria GRUPPI ELETTROGENI</t>
  </si>
  <si>
    <t>ART.4 Manutenzione ordinaria UPS</t>
  </si>
  <si>
    <t>la contabilità rappresenta il materiale scaricato dai rapportini</t>
  </si>
  <si>
    <t>4.950 per contratto fino al 30/06 (2.435 per previsioni costi materiali nostra centrale operativa inseriti nella VDS 02/04/0025)</t>
  </si>
  <si>
    <t>19917,04 per contratto fino al 30/06 (15.000 per previsioni costi materiali nostra centrale operativa inseriti nella VdS 02/04/2026)</t>
  </si>
  <si>
    <t>2515,60 per ups contratto fino al 30/06 (stima materiale nostra centrale operativa per 400€ inserita in Vds 02/04/0028) + 4528,95 contabilità DF fino al 30/06 (previsione materiali 300€ inserita in Vds 02/04/0027)</t>
  </si>
  <si>
    <t>materiale da rapportini - le statistiche ora non vanno, aspettare prima settimana di settembre e sentire con Barbato</t>
  </si>
  <si>
    <t>CONTRATTO</t>
  </si>
  <si>
    <t>STIMA</t>
  </si>
  <si>
    <t>CIANI</t>
  </si>
  <si>
    <t>prevedere qualcosa per ATR?</t>
  </si>
  <si>
    <t>CONTRATTO - da fare</t>
  </si>
  <si>
    <t>Amadori CT ilaria</t>
  </si>
  <si>
    <t>R.Sicurezza+Tecnotel+18000€ sacro cuore (?)</t>
  </si>
  <si>
    <t>Manutenzione proattiva e correttiva (a misura) va fatturato a costo + 10%</t>
  </si>
  <si>
    <t>CONTRATTO MAN</t>
  </si>
  <si>
    <t>RENDICONTAZIONE MAN A MISURA</t>
  </si>
  <si>
    <t>RICAVI MAN A MISURA (COSTI + 10%)</t>
  </si>
  <si>
    <t>---------------------&gt;</t>
  </si>
  <si>
    <t>CD CESENA S.R.L.</t>
  </si>
  <si>
    <t>UNI</t>
  </si>
  <si>
    <t>ADAMO BETTINI SAS DI MARCO GIANGRANDI &amp; C.</t>
  </si>
  <si>
    <t>CUCCHI SAS</t>
  </si>
  <si>
    <t>CANCELLERIA E STAMPATI</t>
  </si>
  <si>
    <t>CD Cesena - B1D8A2E3B8 - fornitura di dotazioni hardware e software</t>
  </si>
  <si>
    <t>UNI - ZB73122642 - Fornitura di norme tecniche UNI</t>
  </si>
  <si>
    <t>Bettini - B207CC47F1 - Fornitura di materiale di cancelleria e similare</t>
  </si>
  <si>
    <t>Cucchi sas - Z433AA911A -Fornitura materiali di ufficio</t>
  </si>
  <si>
    <t>ALTRO</t>
  </si>
  <si>
    <t>PREVENTIVO Ilaria</t>
  </si>
  <si>
    <t>CEI…..TNE e altri costi</t>
  </si>
  <si>
    <t>Dacia, Doblò, Ducato, Pegeot + carta carburante + Kangoo + carta carburante</t>
  </si>
  <si>
    <t>Accorpato nella VdS 0/04/0001</t>
  </si>
  <si>
    <t>ART.6 Riqualificazione Piazzale KARL MARX - PNRR direzione operativa impianti</t>
  </si>
  <si>
    <t>01/70/0026</t>
  </si>
  <si>
    <t>Comune di Longiano Teatro Petrella</t>
  </si>
  <si>
    <t>Aggiunti affidamenti di funzione in buoni GSD 1000 + GB 1500</t>
  </si>
  <si>
    <t>Effettivi premi 32800, mancano i conguagli per l'aumento del personale e dell'importo RAL, il dato dei conguagli manca ma potrebbero attesstarsi su 36500</t>
  </si>
  <si>
    <t>Ho inserito anche il nuovo bando transizione energetica Comune di Cesena 10,819,67 per 2024 
5570,33 per 2025</t>
  </si>
  <si>
    <t>02/04/0029</t>
  </si>
  <si>
    <t>ART.4 Attrezzature e forniture varie</t>
  </si>
  <si>
    <t>Previsioni materiale nostra UO</t>
  </si>
  <si>
    <t>Contributo acquisto beni strumentali</t>
  </si>
  <si>
    <t>Totale COSTI impianti UNITA' OPERATIVA INTERNA</t>
  </si>
  <si>
    <t>IVA indetrabile al 50%</t>
  </si>
  <si>
    <t>-317 giro imposte</t>
  </si>
  <si>
    <t>APE roverella</t>
  </si>
  <si>
    <t>ASP - Telecontrollo e bill audit Nuovo Roverella</t>
  </si>
  <si>
    <t>01/70/0027</t>
  </si>
  <si>
    <t>Aggiungere vDs su gamma</t>
  </si>
  <si>
    <t>ASP - APE e attività fotovoltaico nuovo roverella</t>
  </si>
  <si>
    <t>deve coprire piccole man. Straord. VERRANNO SPESI?</t>
  </si>
  <si>
    <t>Non sono stati capitalizzati i costi del pesonale</t>
  </si>
  <si>
    <t>ART.6 via GIARABUB - BUDGET 2025</t>
  </si>
  <si>
    <t>richiesti a Montanari per nuovi allacci+manutenzione straordinaria (considerati un poco meno)</t>
  </si>
  <si>
    <t>Verifica ILARIA con Provincia se ok fatturazione la metà di quanto stabilito a contratto</t>
  </si>
  <si>
    <t>VERIFICATO DA Matteo 19949 più altri lavoretti previsti</t>
  </si>
  <si>
    <t>valutazione prudenziale</t>
  </si>
  <si>
    <t>Program, Promed, Antincendio + 5000 di ulteriori spese (corsi cassa edile?...altro materiale?)</t>
  </si>
  <si>
    <t>contabilità + 5000€ altra attrezzatura</t>
  </si>
  <si>
    <t>Filo: previsioni costi Ex LUX + 3000€ per oneri diversi GSE e Edistribuzione</t>
  </si>
  <si>
    <t>Simone dice che non si spende nulla</t>
  </si>
  <si>
    <t>Amadori impianto Roverella + 2600</t>
  </si>
  <si>
    <t>Stima Marcello, in programma spese per intervento martini circa 10000 + altri 7000 per arrivare a fine anno</t>
  </si>
  <si>
    <t>Asterisco solo contabilità - almacons fino a fine contratto - non considerato contratto COSA per bill audit + 2000€ per piattaforma whistleblowing</t>
  </si>
  <si>
    <t>mancava un trimestre</t>
  </si>
  <si>
    <t>Materiale Masini speso tutto SARB…consideriamo qualcos'altro? Pompa fontana masina da prendere in art.5 considerati 10000€ aggiuntivi di imprevisti</t>
  </si>
  <si>
    <t>3000 € professionista per sacro cuore? - altre 15000€?</t>
  </si>
  <si>
    <t>Contratto Lami da fare + 5000 altri imprevisti</t>
  </si>
  <si>
    <t>Valorizzazione giacenze di magazzino. RIMANENZE FINALI NO inserire solo la vaiarione a costo (riga sotto)</t>
  </si>
  <si>
    <t>Materie di consumo conto acquisti per magazzino</t>
  </si>
  <si>
    <t>Rimanenze iniziali</t>
  </si>
  <si>
    <t>Rimanenze finali (valorizzazione giacenze al 30/06 o al 31/12)</t>
  </si>
  <si>
    <t>QUESTO CONTO NON LO USIAMO!!!!</t>
  </si>
  <si>
    <t>SENZA CONTO</t>
  </si>
  <si>
    <t>Costo di acquisto + merce arrivata da ddt ma non fatturata. E' il costo effettivo. UTILIZZARE PER CONTROLLO COSTI CONSUELO (Voce B6)</t>
  </si>
  <si>
    <t>Valorizzazione rimanenze finali</t>
  </si>
  <si>
    <t>Apertura di magazzino a inizio anno</t>
  </si>
  <si>
    <t>Rimanenze di M.P., sussidiarie, di consumo e di merci</t>
  </si>
  <si>
    <t>AMM.TO</t>
  </si>
  <si>
    <t>2024 annuale con riqualficazione 100k</t>
  </si>
  <si>
    <t>aggiunti 10000€ di imprevisti</t>
  </si>
  <si>
    <t>Stima costo bollette Gasometro e mattarella (aumentate di 500€)</t>
  </si>
  <si>
    <t>241,23 per residuo contratto pesaro per adeguamento impianti a seguito di verifiche…e 17000€ per imprevisti</t>
  </si>
  <si>
    <t>BUDGET 2025</t>
  </si>
  <si>
    <t>ART.5 2025 Manutenzione STRAORDINARIA impianti</t>
  </si>
  <si>
    <t>01/06/0038</t>
  </si>
  <si>
    <t>ART.6 Sicurezza idraulica sottopasso MACHIAVELLI e TLC IDROVORA via Giarabub</t>
  </si>
  <si>
    <t>ART.6 APE ante e post intervento infanzia Torre del Moro</t>
  </si>
  <si>
    <t>ASP - APE e attività fotovoltaico nuovo Roverella</t>
  </si>
  <si>
    <t>Comune di LONGIANO Teatro Petrella</t>
  </si>
  <si>
    <t>01/70/0028</t>
  </si>
  <si>
    <t>COMUNE DI GAMBETTOLA</t>
  </si>
  <si>
    <t>4099,42 Tecnotel + stima 18000 sacro cuore (pali segnaletiche, spire e robe che chiediamo ad HUB)</t>
  </si>
  <si>
    <t>ART.5 2021 Manutenzione STRAORDINARIA impianti</t>
  </si>
  <si>
    <t>ENTI ESTERNI</t>
  </si>
  <si>
    <t>GSE</t>
  </si>
  <si>
    <t>ATR fino a luglio</t>
  </si>
  <si>
    <t>ATR tutto il 2025</t>
  </si>
  <si>
    <t>TOTALE</t>
  </si>
  <si>
    <t>% SU VP</t>
  </si>
  <si>
    <t>B7/VP</t>
  </si>
  <si>
    <t>Indice costi di generali di funzionamento/Valore della produzione (DUP)</t>
  </si>
  <si>
    <t>imprevisti</t>
  </si>
  <si>
    <t>Asterisco</t>
  </si>
  <si>
    <t>Almacons</t>
  </si>
  <si>
    <t>Comitel</t>
  </si>
  <si>
    <t>Whistleblowing</t>
  </si>
  <si>
    <t>canoni</t>
  </si>
  <si>
    <t>ore</t>
  </si>
  <si>
    <t>Teamsystem</t>
  </si>
  <si>
    <t>una tantum + ore</t>
  </si>
  <si>
    <t>Altro</t>
  </si>
  <si>
    <t>Stima Marcello, in programma spese per intervento martini circa 10000 + altri 6000 per arrivare a fine anno</t>
  </si>
  <si>
    <t>Gadget48</t>
  </si>
  <si>
    <t>Well Done</t>
  </si>
  <si>
    <t>quadernini penne usb</t>
  </si>
  <si>
    <t>2025 - palestra EX GIL - VRF Samsung</t>
  </si>
  <si>
    <t>A residuo ci sono 34473,35</t>
  </si>
  <si>
    <t>CALANDRINI - B40E91F379 - parcheggio di Via Verdi</t>
  </si>
  <si>
    <t>01/40/0009</t>
  </si>
  <si>
    <t>01/40/0010</t>
  </si>
  <si>
    <t>EPC-2025 SACRO CUORE</t>
  </si>
  <si>
    <t>EPC-2025 MATERNA OSSERVANZA</t>
  </si>
  <si>
    <t>2025 Aggiunti 8.000€ per Media Anna Frank</t>
  </si>
  <si>
    <t>introito ARTER+50000</t>
  </si>
  <si>
    <t>2632,36 per ups contratto fino al 30/06 (stima materiale nostra centrale operativa per 400€ inserita in Vds 02/04/0028) + 4528,95 contabilità DF fino al 30/06 (previsione materiali 300€ inserita in Vds 02/04/0027)</t>
  </si>
  <si>
    <t>ookio -26508,97 costo a oggi</t>
  </si>
  <si>
    <t>2025 - contratto accorpato nella VdS 02/04/0001</t>
  </si>
  <si>
    <t>Contratti Pesaro e SOEL aperto fino al 30/06</t>
  </si>
  <si>
    <t>filo</t>
  </si>
  <si>
    <t>tulli</t>
  </si>
  <si>
    <t>Contratto Lami + 5000 altri imprevisti</t>
  </si>
  <si>
    <t>2024-R.Sicurezza+Tecnotel+18000€ sacro cuore</t>
  </si>
  <si>
    <t>2024-Amadori impianto Roverella 50% + 2600</t>
  </si>
  <si>
    <t>Ore per prova migrazione software</t>
  </si>
  <si>
    <t>+430 norme CEI</t>
  </si>
  <si>
    <t>spostato in servizi professionali</t>
  </si>
  <si>
    <t>5000 di imprevisti aumentati</t>
  </si>
  <si>
    <t>2000 di imprevisti</t>
  </si>
  <si>
    <t>Da ggiungere alle mie rilevazioni amministrative</t>
  </si>
  <si>
    <t>2024-considerati 1000€ costi GSE-E-distribuzione</t>
  </si>
  <si>
    <t>welfare</t>
  </si>
  <si>
    <t>PRECONSUNTIVO senza imprevisti 2024</t>
  </si>
  <si>
    <t>PRECONSUNTIVO 2024 con imprevisti</t>
  </si>
  <si>
    <t>DIFFERENZE
BUDGET-PRECONS</t>
  </si>
  <si>
    <t>SITUAZIONE PATRIMONIALE AL 31.12.2024</t>
  </si>
  <si>
    <t>Valore bilancio contabilità
30.09.2024</t>
  </si>
  <si>
    <t>Valore Bilancio al 31.12.2024</t>
  </si>
  <si>
    <t>CONTABILITA'
30.09.2024</t>
  </si>
  <si>
    <t>FATTURE DA RICEVERE</t>
  </si>
  <si>
    <t>MAGAZZINO</t>
  </si>
  <si>
    <r>
      <t>(B7 / VP)</t>
    </r>
    <r>
      <rPr>
        <b/>
        <vertAlign val="subscript"/>
        <sz val="11"/>
        <color rgb="FF000000"/>
        <rFont val="Calibri"/>
        <family val="2"/>
      </rPr>
      <t xml:space="preserve">anno n </t>
    </r>
    <r>
      <rPr>
        <b/>
        <sz val="11"/>
        <color rgb="FF000000"/>
        <rFont val="Calibri"/>
        <family val="2"/>
      </rPr>
      <t>/ (B7 / VP)</t>
    </r>
    <r>
      <rPr>
        <b/>
        <vertAlign val="subscript"/>
        <sz val="11"/>
        <color rgb="FF000000"/>
        <rFont val="Calibri"/>
        <family val="2"/>
      </rPr>
      <t>anno n-1</t>
    </r>
  </si>
  <si>
    <t>obiettivo DUP</t>
  </si>
  <si>
    <t>01/06/0039</t>
  </si>
  <si>
    <t>10/01/002</t>
  </si>
  <si>
    <t>09/01/002</t>
  </si>
  <si>
    <t>01/16/004</t>
  </si>
  <si>
    <t>02/05/0012</t>
  </si>
  <si>
    <t>ART.6 Costi connessi agli incarichi di PROGETTAZIONE e DL</t>
  </si>
  <si>
    <t>PARCHEGGI - IMPREVISTI gestionali</t>
  </si>
  <si>
    <t>02/90/0008</t>
  </si>
  <si>
    <t>01/11/001</t>
  </si>
  <si>
    <t>02/11/001</t>
  </si>
  <si>
    <t>02/11/002</t>
  </si>
  <si>
    <t>01/05/0012</t>
  </si>
  <si>
    <t>ART.6 Ex Tiro a Segno e Cucine Popolari</t>
  </si>
  <si>
    <t>ART.9 Gestione e Manutenzione IMPIANTI TERMICI: COMUNE CESENA</t>
  </si>
  <si>
    <t>ART.9 Gestione e Manutenzione IMPIANTI TERMICI: PRESTAZIONI EXTRA CANONE</t>
  </si>
  <si>
    <t>ART.9 Gestione e Manutenzione IMPIANTI TERMICI: spese generali Società (a corpo)</t>
  </si>
  <si>
    <t>ART.9 Gestione e Manutenzione IMPIANTI TERMICI: conguagli bollini e verifiche AUSL</t>
  </si>
  <si>
    <t>Convenzione CIMITERI - illuminazione VOTIVA</t>
  </si>
  <si>
    <t>Materie di consumo conto acquisti per MAGAZZINO</t>
  </si>
  <si>
    <t>02/06/0001</t>
  </si>
  <si>
    <t>ART.9 Gestione e Manutenzione IMPIANTI TERMICI: LAVORI</t>
  </si>
  <si>
    <t>ART.9 Gestione e Manutenzione IMPIANTI TERMICI: ENTI ESTERNI</t>
  </si>
  <si>
    <t>ART.9 Gestione e Manutenzione IMPIANTI TERMICI: conguagli</t>
  </si>
  <si>
    <t>VOTIVA verifica ente notificato</t>
  </si>
  <si>
    <t>VOTIVA verifiche elevatori AUSL</t>
  </si>
  <si>
    <t>02/16/004</t>
  </si>
  <si>
    <t>02/16/0030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</si>
</sst>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8" formatCode="#,##0.00\ &quot;€&quot;;[Red]\-#,##0.00\ &quot;€&quot;"/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 &quot;* #,##0.00_-;&quot;-€ &quot;* #,##0.00_-;_-&quot;€ &quot;* \-??_-;_-@_-"/>
    <numFmt numFmtId="166" formatCode="_-[$€]\ * #,##0.00_-;\-[$€]\ * #,##0.00_-;_-[$€]\ * \-??_-;_-@_-"/>
    <numFmt numFmtId="167" formatCode="_-* #,##0.00_-;\-* #,##0.00_-;_-* \-??_-;_-@_-"/>
    <numFmt numFmtId="168" formatCode="_-* #,##0_-;\-* #,##0_-;_-* \-_-;_-@_-"/>
    <numFmt numFmtId="169" formatCode="_-&quot;€ &quot;* #,##0_-;&quot;-€ &quot;* #,##0_-;_-&quot;€ &quot;* \-_-;_-@_-"/>
    <numFmt numFmtId="170" formatCode="_-* #,##0.00&quot; €&quot;_-;\-* #,##0.00&quot; €&quot;_-;_-* \-??&quot; €&quot;_-;_-@_-"/>
    <numFmt numFmtId="171" formatCode="_-&quot;L. &quot;* #,##0.00_-;&quot;-L. &quot;* #,##0.00_-;_-&quot;L. &quot;* \-??_-;_-@_-"/>
    <numFmt numFmtId="172" formatCode="##,###,##0.00"/>
    <numFmt numFmtId="173" formatCode="###,###,###,##0.00"/>
    <numFmt numFmtId="174" formatCode="#,##0.00&quot; €&quot;;[Red]\-#,##0.00&quot; €&quot;"/>
    <numFmt numFmtId="175" formatCode="_-* #,##0.00\ _€_-;\-* #,##0.00\ _€_-;_-* \-??\ _€_-;_-@_-"/>
    <numFmt numFmtId="176" formatCode="[$€-2]\ #,##0.00;[Red]\-[$€-2]\ #,##0.00"/>
    <numFmt numFmtId="177" formatCode="#,##0.00&quot; €&quot;"/>
    <numFmt numFmtId="178" formatCode="_-* #,##0_-;\-* #,##0_-;_-* \-??_-;_-@_-"/>
    <numFmt numFmtId="179" formatCode="_-* #,##0.00_-;\-* #,##0.00_-;_-* &quot;-&quot;_-;_-@_-"/>
    <numFmt numFmtId="180" formatCode="_-&quot;€&quot;\ * #,##0.00_-;\-&quot;€&quot;\ * #,##0.00_-;_-&quot;€&quot;\ * &quot;-&quot;??_-;_-@_-"/>
    <numFmt numFmtId="181" formatCode="_-&quot;L.&quot;\ * #,##0.00_-;\-&quot;L.&quot;\ * #,##0.00_-;_-&quot;L.&quot;\ * &quot;-&quot;??_-;_-@_-"/>
    <numFmt numFmtId="182" formatCode="_-[$€]\ * #,##0.00_-;\-[$€]\ * #,##0.00_-;_-[$€]\ * &quot;-&quot;??_-;_-@_-"/>
    <numFmt numFmtId="183" formatCode="0.0000"/>
  </numFmts>
  <fonts count="11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b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u/>
      <sz val="10.45"/>
      <color rgb="FF0000FF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Tahoma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1"/>
      <color rgb="FF000000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b/>
      <i/>
      <u/>
      <sz val="14"/>
      <color rgb="FF000000"/>
      <name val="Calibri"/>
      <family val="2"/>
      <charset val="1"/>
    </font>
    <font>
      <b/>
      <sz val="11"/>
      <color rgb="FF2F5597"/>
      <name val="Calibri"/>
      <family val="2"/>
      <charset val="1"/>
    </font>
    <font>
      <sz val="11"/>
      <name val="Calibri"/>
      <family val="2"/>
      <charset val="1"/>
    </font>
    <font>
      <sz val="11"/>
      <color rgb="FF12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9"/>
      <color rgb="FF000000"/>
      <name val="Tahoma"/>
      <family val="2"/>
      <charset val="1"/>
    </font>
    <font>
      <b/>
      <sz val="11"/>
      <color rgb="FFFF0000"/>
      <name val="Calibri"/>
      <family val="2"/>
      <charset val="1"/>
    </font>
    <font>
      <b/>
      <sz val="11"/>
      <color rgb="FFFF00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FFFFFF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rgb="FF12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name val="Comic Sans MS"/>
      <family val="4"/>
    </font>
    <font>
      <b/>
      <sz val="11"/>
      <name val="Comic Sans MS"/>
      <family val="4"/>
    </font>
    <font>
      <sz val="10"/>
      <name val="Comic Sans MS"/>
      <family val="4"/>
    </font>
    <font>
      <b/>
      <sz val="11"/>
      <color indexed="12"/>
      <name val="Comic Sans MS"/>
      <family val="4"/>
    </font>
    <font>
      <b/>
      <u/>
      <sz val="11"/>
      <name val="Comic Sans MS"/>
      <family val="4"/>
    </font>
    <font>
      <b/>
      <u/>
      <sz val="11"/>
      <color indexed="10"/>
      <name val="Comic Sans MS"/>
      <family val="4"/>
    </font>
    <font>
      <sz val="11"/>
      <name val="Comic Sans MS"/>
      <family val="4"/>
    </font>
    <font>
      <b/>
      <sz val="11"/>
      <color indexed="10"/>
      <name val="Comic Sans MS"/>
      <family val="4"/>
    </font>
    <font>
      <sz val="11"/>
      <color indexed="10"/>
      <name val="Comic Sans MS"/>
      <family val="4"/>
    </font>
    <font>
      <i/>
      <sz val="11"/>
      <name val="Comic Sans MS"/>
      <family val="4"/>
    </font>
    <font>
      <b/>
      <sz val="10"/>
      <color indexed="10"/>
      <name val="Comic Sans MS"/>
      <family val="4"/>
    </font>
    <font>
      <sz val="8"/>
      <name val="Calibri"/>
      <family val="2"/>
      <charset val="1"/>
    </font>
    <font>
      <b/>
      <sz val="11"/>
      <color rgb="FFFF000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trike/>
      <sz val="11"/>
      <color rgb="FF000000"/>
      <name val="Calibri"/>
      <family val="2"/>
      <charset val="1"/>
    </font>
    <font>
      <strike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Tahoma"/>
      <family val="2"/>
    </font>
    <font>
      <strike/>
      <sz val="11"/>
      <color rgb="FF000000"/>
      <name val="Calibri"/>
      <family val="2"/>
    </font>
    <font>
      <strike/>
      <sz val="11"/>
      <name val="Calibri"/>
      <family val="2"/>
      <charset val="1"/>
    </font>
    <font>
      <sz val="11"/>
      <color rgb="FF000000"/>
      <name val="Calibri"/>
      <family val="2"/>
    </font>
    <font>
      <strike/>
      <sz val="11"/>
      <name val="Calibri"/>
      <family val="2"/>
    </font>
    <font>
      <sz val="11"/>
      <color rgb="FFFF0000"/>
      <name val="Calibri"/>
      <family val="2"/>
    </font>
    <font>
      <b/>
      <sz val="20"/>
      <color theme="0" tint="-4.9989318521683403E-2"/>
      <name val="Calibri"/>
      <family val="2"/>
    </font>
    <font>
      <strike/>
      <sz val="11"/>
      <color rgb="FFFF0000"/>
      <name val="Calibri"/>
      <family val="2"/>
    </font>
    <font>
      <sz val="8"/>
      <color rgb="FF000000"/>
      <name val="Calibri"/>
      <family val="2"/>
      <charset val="1"/>
    </font>
    <font>
      <sz val="12"/>
      <color rgb="FF000000"/>
      <name val="Apto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rgb="FFFF0000"/>
      <name val="Aptos"/>
      <family val="2"/>
    </font>
    <font>
      <b/>
      <sz val="11"/>
      <color rgb="FFFF0000"/>
      <name val="Aptos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4"/>
      <color rgb="FF120000"/>
      <name val="Calibri"/>
      <family val="2"/>
    </font>
    <font>
      <sz val="14"/>
      <color rgb="FFFF0000"/>
      <name val="Calibri"/>
      <family val="2"/>
    </font>
    <font>
      <sz val="14"/>
      <color rgb="FFFF0000"/>
      <name val="Calibri"/>
      <family val="2"/>
      <scheme val="minor"/>
    </font>
    <font>
      <sz val="14"/>
      <color rgb="FFFFFFFF"/>
      <name val="Calibri"/>
      <family val="2"/>
    </font>
    <font>
      <b/>
      <i/>
      <u/>
      <sz val="16"/>
      <color rgb="FF000000"/>
      <name val="Calibri"/>
      <family val="2"/>
      <charset val="1"/>
    </font>
    <font>
      <sz val="16"/>
      <color rgb="FF000000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6"/>
      <color rgb="FF120000"/>
      <name val="Calibri"/>
      <family val="2"/>
    </font>
    <font>
      <sz val="16"/>
      <color rgb="FFFF0000"/>
      <name val="Calibri"/>
      <family val="2"/>
    </font>
    <font>
      <b/>
      <sz val="16"/>
      <color rgb="FF2F5597"/>
      <name val="Calibri"/>
      <family val="2"/>
    </font>
    <font>
      <b/>
      <sz val="16"/>
      <color rgb="FFFFFFFF"/>
      <name val="Calibri"/>
      <family val="2"/>
    </font>
    <font>
      <sz val="11"/>
      <color theme="0"/>
      <name val="Calibri"/>
      <family val="2"/>
    </font>
    <font>
      <b/>
      <vertAlign val="subscript"/>
      <sz val="11"/>
      <color rgb="FF000000"/>
      <name val="Calibri"/>
      <family val="2"/>
    </font>
    <font>
      <sz val="10"/>
      <color indexed="8"/>
      <name val="Arial"/>
      <family val="2"/>
    </font>
  </fonts>
  <fills count="123">
    <fill>
      <patternFill patternType="none"/>
    </fill>
    <fill>
      <patternFill patternType="gray125"/>
    </fill>
    <fill>
      <patternFill patternType="solid">
        <fgColor rgb="FFCCCCFF"/>
        <bgColor rgb="FFD8BFD8"/>
      </patternFill>
    </fill>
    <fill>
      <patternFill patternType="solid">
        <fgColor rgb="FFFF99CC"/>
        <bgColor rgb="FFCB9DAB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CB9DAB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8BFD8"/>
      </patternFill>
    </fill>
    <fill>
      <patternFill patternType="solid">
        <fgColor rgb="FF99CCFF"/>
        <bgColor rgb="FFB0C4DE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B050"/>
      </patternFill>
    </fill>
    <fill>
      <patternFill patternType="solid">
        <fgColor rgb="FFFFCC00"/>
        <bgColor rgb="FFFFD700"/>
      </patternFill>
    </fill>
    <fill>
      <patternFill patternType="solid">
        <fgColor rgb="FF0066CC"/>
        <bgColor rgb="FF2F5597"/>
      </patternFill>
    </fill>
    <fill>
      <patternFill patternType="solid">
        <fgColor rgb="FF800080"/>
        <bgColor rgb="FF333399"/>
      </patternFill>
    </fill>
    <fill>
      <patternFill patternType="solid">
        <fgColor rgb="FF33CCCC"/>
        <bgColor rgb="FF00FFFF"/>
      </patternFill>
    </fill>
    <fill>
      <patternFill patternType="solid">
        <fgColor rgb="FFFF9900"/>
        <bgColor rgb="FFFFC0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2F5597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B05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F5F5F5"/>
        <bgColor rgb="FFF2F2F2"/>
      </patternFill>
    </fill>
    <fill>
      <patternFill patternType="solid">
        <fgColor rgb="FFFFFF00"/>
        <bgColor rgb="FFFFD700"/>
      </patternFill>
    </fill>
    <fill>
      <patternFill patternType="solid">
        <fgColor rgb="FFECECEC"/>
        <bgColor rgb="FFE7E6E6"/>
      </patternFill>
    </fill>
    <fill>
      <patternFill patternType="solid">
        <fgColor rgb="FFFFD700"/>
        <bgColor rgb="FFFFCC00"/>
      </patternFill>
    </fill>
    <fill>
      <patternFill patternType="solid">
        <fgColor rgb="FFB0C4DE"/>
        <bgColor rgb="FFC0C0C0"/>
      </patternFill>
    </fill>
    <fill>
      <patternFill patternType="solid">
        <fgColor rgb="FF8FBC8F"/>
        <bgColor rgb="FF92D050"/>
      </patternFill>
    </fill>
    <fill>
      <patternFill patternType="solid">
        <fgColor rgb="FFB16C81"/>
        <bgColor rgb="FF808080"/>
      </patternFill>
    </fill>
    <fill>
      <patternFill patternType="solid">
        <fgColor rgb="FFD8BFD8"/>
        <bgColor rgb="FFC0C0C0"/>
      </patternFill>
    </fill>
    <fill>
      <patternFill patternType="solid">
        <fgColor rgb="FFFFF2CC"/>
        <bgColor rgb="FFFFFFCC"/>
      </patternFill>
    </fill>
    <fill>
      <patternFill patternType="solid">
        <fgColor rgb="FFE2F0D9"/>
        <bgColor rgb="FFECECEC"/>
      </patternFill>
    </fill>
    <fill>
      <patternFill patternType="solid">
        <fgColor rgb="FFE7E6E6"/>
        <bgColor rgb="FFECECEC"/>
      </patternFill>
    </fill>
    <fill>
      <patternFill patternType="solid">
        <fgColor rgb="FF00B050"/>
        <bgColor rgb="FF339966"/>
      </patternFill>
    </fill>
    <fill>
      <patternFill patternType="solid">
        <fgColor rgb="FFBFBFBF"/>
        <bgColor rgb="FFC0C0C0"/>
      </patternFill>
    </fill>
    <fill>
      <patternFill patternType="solid">
        <fgColor rgb="FFF2F2F2"/>
        <bgColor rgb="FFF5F5F5"/>
      </patternFill>
    </fill>
    <fill>
      <patternFill patternType="solid">
        <fgColor rgb="FF4A84C2"/>
        <bgColor rgb="FF339966"/>
      </patternFill>
    </fill>
    <fill>
      <patternFill patternType="solid">
        <fgColor rgb="FFFFFFFF"/>
        <bgColor rgb="FFF5F5F5"/>
      </patternFill>
    </fill>
    <fill>
      <patternFill patternType="solid">
        <fgColor rgb="FFCB9DAB"/>
        <bgColor rgb="FFBFBFBF"/>
      </patternFill>
    </fill>
    <fill>
      <patternFill patternType="solid">
        <fgColor rgb="FFFF66FF"/>
        <bgColor rgb="FFFF99CC"/>
      </patternFill>
    </fill>
    <fill>
      <patternFill patternType="solid">
        <fgColor rgb="FFFF00FF"/>
        <bgColor rgb="FFFF66FF"/>
      </patternFill>
    </fill>
    <fill>
      <patternFill patternType="solid">
        <fgColor rgb="FFFFC000"/>
        <bgColor rgb="FFFFCC00"/>
      </patternFill>
    </fill>
    <fill>
      <patternFill patternType="solid">
        <fgColor rgb="FFDAE3F3"/>
        <bgColor rgb="FFE7E6E6"/>
      </patternFill>
    </fill>
    <fill>
      <patternFill patternType="solid">
        <fgColor rgb="FF00FFFF"/>
        <bgColor rgb="FF33CCCC"/>
      </patternFill>
    </fill>
    <fill>
      <patternFill patternType="solid">
        <fgColor rgb="FF92D050"/>
        <bgColor rgb="FF8FBC8F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8FBC8F"/>
        <bgColor indexed="64"/>
      </patternFill>
    </fill>
    <fill>
      <patternFill patternType="solid">
        <fgColor rgb="FFB16C81"/>
        <bgColor indexed="64"/>
      </patternFill>
    </fill>
    <fill>
      <patternFill patternType="solid">
        <fgColor rgb="FFD8BFD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4A84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B9DAB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339966"/>
      </patternFill>
    </fill>
    <fill>
      <patternFill patternType="solid">
        <fgColor theme="0"/>
        <bgColor rgb="FFF5F5F5"/>
      </patternFill>
    </fill>
    <fill>
      <patternFill patternType="solid">
        <fgColor theme="0"/>
        <bgColor rgb="FFBFBFB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FF0000"/>
        <bgColor rgb="FFFFCC00"/>
      </patternFill>
    </fill>
    <fill>
      <patternFill patternType="solid">
        <fgColor rgb="FFFF0000"/>
        <bgColor rgb="FFC0C0C0"/>
      </patternFill>
    </fill>
    <fill>
      <patternFill patternType="solid">
        <fgColor rgb="FFFFFF00"/>
        <bgColor rgb="FFFF66FF"/>
      </patternFill>
    </fill>
    <fill>
      <patternFill patternType="solid">
        <fgColor rgb="FFFFFF00"/>
        <bgColor rgb="FF808080"/>
      </patternFill>
    </fill>
    <fill>
      <patternFill patternType="solid">
        <fgColor rgb="FFFF7C80"/>
        <bgColor rgb="FFC0C0C0"/>
      </patternFill>
    </fill>
    <fill>
      <patternFill patternType="solid">
        <fgColor rgb="FFFFFF00"/>
        <bgColor rgb="FFF5F5F5"/>
      </patternFill>
    </fill>
    <fill>
      <patternFill patternType="solid">
        <fgColor rgb="FFFF0000"/>
        <bgColor rgb="FFFF66FF"/>
      </patternFill>
    </fill>
    <fill>
      <patternFill patternType="solid">
        <fgColor rgb="FFFF0000"/>
        <bgColor rgb="FF808080"/>
      </patternFill>
    </fill>
    <fill>
      <patternFill patternType="solid">
        <fgColor rgb="FFFFC000"/>
        <bgColor rgb="FF92D050"/>
      </patternFill>
    </fill>
    <fill>
      <patternFill patternType="solid">
        <fgColor rgb="FFFFC000"/>
        <bgColor rgb="FF808080"/>
      </patternFill>
    </fill>
    <fill>
      <patternFill patternType="solid">
        <fgColor rgb="FFFFC000"/>
        <bgColor rgb="FFFF66FF"/>
      </patternFill>
    </fill>
    <fill>
      <patternFill patternType="solid">
        <fgColor theme="8" tint="-0.249977111117893"/>
        <bgColor rgb="FFFF66FF"/>
      </patternFill>
    </fill>
    <fill>
      <patternFill patternType="solid">
        <fgColor rgb="FF4A84C2"/>
        <bgColor rgb="FFFF66FF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rgb="FFF2F2F2"/>
      </patternFill>
    </fill>
    <fill>
      <patternFill patternType="solid">
        <fgColor theme="5" tint="0.39997558519241921"/>
        <bgColor indexed="64"/>
      </patternFill>
    </fill>
  </fills>
  <borders count="9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 style="thin">
        <color rgb="FF000080"/>
      </right>
      <top/>
      <bottom style="thin">
        <color rgb="FF000080"/>
      </bottom>
      <diagonal/>
    </border>
    <border>
      <left style="thin">
        <color rgb="FF000080"/>
      </left>
      <right style="thin">
        <color rgb="FF000080"/>
      </right>
      <top/>
      <bottom style="thin">
        <color rgb="FF000080"/>
      </bottom>
      <diagonal/>
    </border>
    <border>
      <left/>
      <right style="thin">
        <color rgb="FF000080"/>
      </right>
      <top style="thin">
        <color rgb="FF000080"/>
      </top>
      <bottom style="thin">
        <color rgb="FF00008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80"/>
      </left>
      <right style="thin">
        <color auto="1"/>
      </right>
      <top style="thin">
        <color rgb="FF000080"/>
      </top>
      <bottom style="thin">
        <color rgb="FF000080"/>
      </bottom>
      <diagonal/>
    </border>
    <border>
      <left/>
      <right/>
      <top style="thin">
        <color auto="1"/>
      </top>
      <bottom/>
      <diagonal/>
    </border>
    <border>
      <left style="thin">
        <color rgb="FF00008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80"/>
      </left>
      <right style="thin">
        <color auto="1"/>
      </right>
      <top style="thin">
        <color auto="1"/>
      </top>
      <bottom style="thin">
        <color rgb="FF000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auto="1"/>
      </bottom>
      <diagonal/>
    </border>
    <border>
      <left style="thin">
        <color rgb="FF000080"/>
      </left>
      <right style="thin">
        <color auto="1"/>
      </right>
      <top style="thin">
        <color rgb="FF00008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80"/>
      </left>
      <right/>
      <top/>
      <bottom style="thin">
        <color rgb="FF00008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80"/>
      </left>
      <right/>
      <top style="thin">
        <color rgb="FF000080"/>
      </top>
      <bottom/>
      <diagonal/>
    </border>
    <border>
      <left style="thin">
        <color rgb="FF000080"/>
      </left>
      <right style="thin">
        <color auto="1"/>
      </right>
      <top/>
      <bottom style="thin">
        <color rgb="FF000080"/>
      </bottom>
      <diagonal/>
    </border>
    <border>
      <left style="thin">
        <color auto="1"/>
      </left>
      <right/>
      <top style="thin">
        <color auto="1"/>
      </top>
      <bottom style="thin">
        <color rgb="FF00008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80"/>
      </bottom>
      <diagonal/>
    </border>
    <border>
      <left style="thin">
        <color indexed="64"/>
      </left>
      <right style="thin">
        <color indexed="64"/>
      </right>
      <top style="thin">
        <color rgb="FF00008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80"/>
      </right>
      <top style="medium">
        <color indexed="64"/>
      </top>
      <bottom style="thin">
        <color rgb="FF000080"/>
      </bottom>
      <diagonal/>
    </border>
    <border>
      <left style="thin">
        <color rgb="FF000080"/>
      </left>
      <right style="thin">
        <color rgb="FF000080"/>
      </right>
      <top style="medium">
        <color indexed="64"/>
      </top>
      <bottom style="thin">
        <color rgb="FF000080"/>
      </bottom>
      <diagonal/>
    </border>
    <border>
      <left style="thin">
        <color rgb="FF000080"/>
      </left>
      <right/>
      <top style="medium">
        <color indexed="64"/>
      </top>
      <bottom style="thin">
        <color rgb="FF00008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8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80"/>
      </right>
      <top style="thin">
        <color rgb="FF000080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medium">
        <color indexed="64"/>
      </bottom>
      <diagonal/>
    </border>
    <border>
      <left style="thin">
        <color rgb="FF000080"/>
      </left>
      <right/>
      <top style="thin">
        <color rgb="FF00008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80"/>
      </right>
      <top style="medium">
        <color indexed="64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80"/>
      </left>
      <right style="medium">
        <color indexed="64"/>
      </right>
      <top style="medium">
        <color indexed="64"/>
      </top>
      <bottom style="thin">
        <color rgb="FF000080"/>
      </bottom>
      <diagonal/>
    </border>
    <border>
      <left style="thin">
        <color rgb="FF000080"/>
      </left>
      <right style="medium">
        <color indexed="64"/>
      </right>
      <top style="thin">
        <color rgb="FF000080"/>
      </top>
      <bottom style="thin">
        <color rgb="FF000080"/>
      </bottom>
      <diagonal/>
    </border>
    <border>
      <left style="thin">
        <color rgb="FF000080"/>
      </left>
      <right style="medium">
        <color indexed="64"/>
      </right>
      <top style="thin">
        <color rgb="FF00008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80"/>
      </bottom>
      <diagonal/>
    </border>
    <border>
      <left/>
      <right style="medium">
        <color indexed="64"/>
      </right>
      <top style="thin">
        <color rgb="FF00008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8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80"/>
      </bottom>
      <diagonal/>
    </border>
    <border>
      <left style="medium">
        <color indexed="64"/>
      </left>
      <right style="medium">
        <color indexed="64"/>
      </right>
      <top style="thin">
        <color rgb="FF000080"/>
      </top>
      <bottom style="thin">
        <color rgb="FF000080"/>
      </bottom>
      <diagonal/>
    </border>
    <border>
      <left style="medium">
        <color indexed="64"/>
      </left>
      <right style="medium">
        <color indexed="64"/>
      </right>
      <top style="thin">
        <color rgb="FF00008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7">
    <xf numFmtId="0" fontId="0" fillId="0" borderId="0"/>
    <xf numFmtId="167" fontId="38" fillId="0" borderId="0" applyBorder="0" applyProtection="0"/>
    <xf numFmtId="170" fontId="38" fillId="0" borderId="0" applyBorder="0" applyProtection="0"/>
    <xf numFmtId="9" fontId="38" fillId="0" borderId="0" applyBorder="0" applyProtection="0"/>
    <xf numFmtId="0" fontId="38" fillId="2" borderId="0" applyBorder="0" applyProtection="0"/>
    <xf numFmtId="0" fontId="38" fillId="3" borderId="0" applyBorder="0" applyProtection="0"/>
    <xf numFmtId="0" fontId="38" fillId="4" borderId="0" applyBorder="0" applyProtection="0"/>
    <xf numFmtId="0" fontId="38" fillId="5" borderId="0" applyBorder="0" applyProtection="0"/>
    <xf numFmtId="0" fontId="38" fillId="6" borderId="0" applyBorder="0" applyProtection="0"/>
    <xf numFmtId="0" fontId="38" fillId="7" borderId="0" applyBorder="0" applyProtection="0"/>
    <xf numFmtId="0" fontId="38" fillId="8" borderId="0" applyBorder="0" applyProtection="0"/>
    <xf numFmtId="0" fontId="38" fillId="9" borderId="0" applyBorder="0" applyProtection="0"/>
    <xf numFmtId="0" fontId="38" fillId="10" borderId="0" applyBorder="0" applyProtection="0"/>
    <xf numFmtId="0" fontId="38" fillId="5" borderId="0" applyBorder="0" applyProtection="0"/>
    <xf numFmtId="0" fontId="38" fillId="8" borderId="0" applyBorder="0" applyProtection="0"/>
    <xf numFmtId="0" fontId="38" fillId="11" borderId="0" applyBorder="0" applyProtection="0"/>
    <xf numFmtId="0" fontId="8" fillId="12" borderId="0" applyBorder="0" applyProtection="0"/>
    <xf numFmtId="0" fontId="8" fillId="9" borderId="0" applyBorder="0" applyProtection="0"/>
    <xf numFmtId="0" fontId="8" fillId="10" borderId="0" applyBorder="0" applyProtection="0"/>
    <xf numFmtId="0" fontId="8" fillId="13" borderId="0" applyBorder="0" applyProtection="0"/>
    <xf numFmtId="0" fontId="8" fillId="14" borderId="0" applyBorder="0" applyProtection="0"/>
    <xf numFmtId="0" fontId="8" fillId="15" borderId="0" applyBorder="0" applyProtection="0"/>
    <xf numFmtId="0" fontId="9" fillId="16" borderId="1" applyProtection="0"/>
    <xf numFmtId="0" fontId="9" fillId="16" borderId="1" applyProtection="0"/>
    <xf numFmtId="0" fontId="10" fillId="0" borderId="2" applyProtection="0"/>
    <xf numFmtId="0" fontId="11" fillId="17" borderId="3" applyProtection="0"/>
    <xf numFmtId="0" fontId="12" fillId="0" borderId="0" applyBorder="0" applyProtection="0"/>
    <xf numFmtId="0" fontId="8" fillId="18" borderId="0" applyBorder="0" applyProtection="0"/>
    <xf numFmtId="0" fontId="8" fillId="19" borderId="0" applyBorder="0" applyProtection="0"/>
    <xf numFmtId="0" fontId="8" fillId="20" borderId="0" applyBorder="0" applyProtection="0"/>
    <xf numFmtId="0" fontId="8" fillId="13" borderId="0" applyBorder="0" applyProtection="0"/>
    <xf numFmtId="0" fontId="8" fillId="14" borderId="0" applyBorder="0" applyProtection="0"/>
    <xf numFmtId="0" fontId="8" fillId="21" borderId="0" applyBorder="0" applyProtection="0"/>
    <xf numFmtId="165" fontId="38" fillId="0" borderId="0" applyBorder="0" applyProtection="0"/>
    <xf numFmtId="166" fontId="38" fillId="0" borderId="0" applyBorder="0" applyProtection="0"/>
    <xf numFmtId="165" fontId="38" fillId="0" borderId="0" applyBorder="0" applyProtection="0"/>
    <xf numFmtId="0" fontId="13" fillId="7" borderId="1" applyProtection="0"/>
    <xf numFmtId="0" fontId="13" fillId="7" borderId="1" applyProtection="0"/>
    <xf numFmtId="38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8" fontId="38" fillId="0" borderId="0" applyBorder="0" applyProtection="0"/>
    <xf numFmtId="168" fontId="38" fillId="0" borderId="0" applyBorder="0" applyProtection="0"/>
    <xf numFmtId="168" fontId="38" fillId="0" borderId="0" applyBorder="0" applyProtection="0"/>
    <xf numFmtId="168" fontId="38" fillId="0" borderId="0" applyBorder="0" applyProtection="0"/>
    <xf numFmtId="0" fontId="14" fillId="22" borderId="0" applyBorder="0" applyProtection="0"/>
    <xf numFmtId="0" fontId="15" fillId="0" borderId="0"/>
    <xf numFmtId="0" fontId="15" fillId="0" borderId="0"/>
    <xf numFmtId="0" fontId="16" fillId="0" borderId="0"/>
    <xf numFmtId="0" fontId="38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16" fillId="0" borderId="0"/>
    <xf numFmtId="0" fontId="15" fillId="0" borderId="0"/>
    <xf numFmtId="0" fontId="38" fillId="0" borderId="0"/>
    <xf numFmtId="0" fontId="38" fillId="23" borderId="4" applyProtection="0"/>
    <xf numFmtId="0" fontId="38" fillId="23" borderId="4" applyProtection="0"/>
    <xf numFmtId="0" fontId="17" fillId="16" borderId="5" applyProtection="0"/>
    <xf numFmtId="0" fontId="17" fillId="16" borderId="5" applyProtection="0"/>
    <xf numFmtId="9" fontId="38" fillId="0" borderId="0" applyBorder="0" applyProtection="0"/>
    <xf numFmtId="9" fontId="38" fillId="0" borderId="0" applyBorder="0" applyProtection="0"/>
    <xf numFmtId="9" fontId="38" fillId="0" borderId="0" applyBorder="0" applyProtection="0"/>
    <xf numFmtId="0" fontId="18" fillId="0" borderId="0" applyBorder="0" applyProtection="0"/>
    <xf numFmtId="0" fontId="19" fillId="0" borderId="0" applyBorder="0" applyProtection="0"/>
    <xf numFmtId="0" fontId="20" fillId="0" borderId="6" applyProtection="0"/>
    <xf numFmtId="0" fontId="21" fillId="0" borderId="7" applyProtection="0"/>
    <xf numFmtId="0" fontId="22" fillId="0" borderId="8" applyProtection="0"/>
    <xf numFmtId="0" fontId="22" fillId="0" borderId="0" applyBorder="0" applyProtection="0"/>
    <xf numFmtId="0" fontId="23" fillId="0" borderId="0" applyBorder="0" applyProtection="0"/>
    <xf numFmtId="0" fontId="24" fillId="0" borderId="9" applyProtection="0"/>
    <xf numFmtId="0" fontId="24" fillId="0" borderId="9" applyProtection="0"/>
    <xf numFmtId="0" fontId="25" fillId="3" borderId="0" applyBorder="0" applyProtection="0"/>
    <xf numFmtId="0" fontId="26" fillId="4" borderId="0" applyBorder="0" applyProtection="0"/>
    <xf numFmtId="169" fontId="38" fillId="0" borderId="0" applyBorder="0" applyProtection="0"/>
    <xf numFmtId="170" fontId="38" fillId="0" borderId="0" applyBorder="0" applyProtection="0"/>
    <xf numFmtId="170" fontId="38" fillId="0" borderId="0" applyBorder="0" applyProtection="0"/>
    <xf numFmtId="170" fontId="38" fillId="0" borderId="0" applyBorder="0" applyProtection="0"/>
    <xf numFmtId="170" fontId="38" fillId="0" borderId="0" applyBorder="0" applyProtection="0"/>
    <xf numFmtId="171" fontId="38" fillId="0" borderId="0" applyBorder="0" applyProtection="0"/>
    <xf numFmtId="170" fontId="38" fillId="0" borderId="0" applyBorder="0" applyProtection="0"/>
    <xf numFmtId="170" fontId="38" fillId="0" borderId="0" applyBorder="0" applyProtection="0"/>
    <xf numFmtId="170" fontId="38" fillId="0" borderId="0" applyBorder="0" applyProtection="0"/>
    <xf numFmtId="0" fontId="62" fillId="0" borderId="0"/>
    <xf numFmtId="0" fontId="63" fillId="0" borderId="0" applyNumberFormat="0" applyFont="0" applyFill="0" applyBorder="0" applyAlignment="0" applyProtection="0"/>
    <xf numFmtId="165" fontId="62" fillId="0" borderId="0" applyFill="0" applyBorder="0" applyAlignment="0" applyProtection="0"/>
    <xf numFmtId="9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62" fillId="0" borderId="0"/>
    <xf numFmtId="180" fontId="62" fillId="0" borderId="0" applyFont="0" applyFill="0" applyBorder="0" applyAlignment="0" applyProtection="0"/>
    <xf numFmtId="180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7" fillId="0" borderId="0"/>
    <xf numFmtId="4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81" fontId="62" fillId="0" borderId="0" applyFont="0" applyFill="0" applyBorder="0" applyAlignment="0" applyProtection="0"/>
    <xf numFmtId="0" fontId="6" fillId="0" borderId="0"/>
    <xf numFmtId="0" fontId="5" fillId="0" borderId="0"/>
    <xf numFmtId="0" fontId="68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181" fontId="6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8" fillId="0" borderId="0"/>
    <xf numFmtId="167" fontId="38" fillId="0" borderId="0" applyBorder="0" applyProtection="0"/>
    <xf numFmtId="170" fontId="38" fillId="0" borderId="0" applyBorder="0" applyProtection="0"/>
    <xf numFmtId="9" fontId="38" fillId="0" borderId="0" applyBorder="0" applyProtection="0"/>
    <xf numFmtId="165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167" fontId="38" fillId="0" borderId="0" applyBorder="0" applyProtection="0"/>
    <xf numFmtId="0" fontId="15" fillId="0" borderId="0"/>
    <xf numFmtId="9" fontId="38" fillId="0" borderId="0" applyBorder="0" applyProtection="0"/>
    <xf numFmtId="43" fontId="3" fillId="0" borderId="0" applyFont="0" applyFill="0" applyBorder="0" applyAlignment="0" applyProtection="0"/>
    <xf numFmtId="170" fontId="38" fillId="0" borderId="0" applyBorder="0" applyProtection="0"/>
    <xf numFmtId="44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3" fillId="0" borderId="0"/>
    <xf numFmtId="4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6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88" applyNumberFormat="0" applyFill="0" applyAlignment="0" applyProtection="0"/>
    <xf numFmtId="0" fontId="80" fillId="0" borderId="89" applyNumberFormat="0" applyFill="0" applyAlignment="0" applyProtection="0"/>
    <xf numFmtId="0" fontId="81" fillId="0" borderId="90" applyNumberFormat="0" applyFill="0" applyAlignment="0" applyProtection="0"/>
    <xf numFmtId="0" fontId="81" fillId="0" borderId="0" applyNumberFormat="0" applyFill="0" applyBorder="0" applyAlignment="0" applyProtection="0"/>
    <xf numFmtId="0" fontId="82" fillId="88" borderId="0" applyNumberFormat="0" applyBorder="0" applyAlignment="0" applyProtection="0"/>
    <xf numFmtId="0" fontId="83" fillId="89" borderId="0" applyNumberFormat="0" applyBorder="0" applyAlignment="0" applyProtection="0"/>
    <xf numFmtId="0" fontId="84" fillId="90" borderId="0" applyNumberFormat="0" applyBorder="0" applyAlignment="0" applyProtection="0"/>
    <xf numFmtId="0" fontId="85" fillId="91" borderId="91" applyNumberFormat="0" applyAlignment="0" applyProtection="0"/>
    <xf numFmtId="0" fontId="86" fillId="92" borderId="92" applyNumberFormat="0" applyAlignment="0" applyProtection="0"/>
    <xf numFmtId="0" fontId="87" fillId="92" borderId="91" applyNumberFormat="0" applyAlignment="0" applyProtection="0"/>
    <xf numFmtId="0" fontId="88" fillId="0" borderId="93" applyNumberFormat="0" applyFill="0" applyAlignment="0" applyProtection="0"/>
    <xf numFmtId="0" fontId="89" fillId="93" borderId="94" applyNumberFormat="0" applyAlignment="0" applyProtection="0"/>
    <xf numFmtId="0" fontId="44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96" applyNumberFormat="0" applyFill="0" applyAlignment="0" applyProtection="0"/>
    <xf numFmtId="0" fontId="92" fillId="95" borderId="0" applyNumberFormat="0" applyBorder="0" applyAlignment="0" applyProtection="0"/>
    <xf numFmtId="0" fontId="2" fillId="96" borderId="0" applyNumberFormat="0" applyBorder="0" applyAlignment="0" applyProtection="0"/>
    <xf numFmtId="0" fontId="2" fillId="97" borderId="0" applyNumberFormat="0" applyBorder="0" applyAlignment="0" applyProtection="0"/>
    <xf numFmtId="0" fontId="2" fillId="98" borderId="0" applyNumberFormat="0" applyBorder="0" applyAlignment="0" applyProtection="0"/>
    <xf numFmtId="0" fontId="92" fillId="99" borderId="0" applyNumberFormat="0" applyBorder="0" applyAlignment="0" applyProtection="0"/>
    <xf numFmtId="0" fontId="2" fillId="100" borderId="0" applyNumberFormat="0" applyBorder="0" applyAlignment="0" applyProtection="0"/>
    <xf numFmtId="0" fontId="2" fillId="101" borderId="0" applyNumberFormat="0" applyBorder="0" applyAlignment="0" applyProtection="0"/>
    <xf numFmtId="0" fontId="2" fillId="102" borderId="0" applyNumberFormat="0" applyBorder="0" applyAlignment="0" applyProtection="0"/>
    <xf numFmtId="0" fontId="92" fillId="103" borderId="0" applyNumberFormat="0" applyBorder="0" applyAlignment="0" applyProtection="0"/>
    <xf numFmtId="0" fontId="2" fillId="104" borderId="0" applyNumberFormat="0" applyBorder="0" applyAlignment="0" applyProtection="0"/>
    <xf numFmtId="0" fontId="2" fillId="105" borderId="0" applyNumberFormat="0" applyBorder="0" applyAlignment="0" applyProtection="0"/>
    <xf numFmtId="0" fontId="2" fillId="106" borderId="0" applyNumberFormat="0" applyBorder="0" applyAlignment="0" applyProtection="0"/>
    <xf numFmtId="0" fontId="92" fillId="107" borderId="0" applyNumberFormat="0" applyBorder="0" applyAlignment="0" applyProtection="0"/>
    <xf numFmtId="0" fontId="2" fillId="108" borderId="0" applyNumberFormat="0" applyBorder="0" applyAlignment="0" applyProtection="0"/>
    <xf numFmtId="0" fontId="2" fillId="109" borderId="0" applyNumberFormat="0" applyBorder="0" applyAlignment="0" applyProtection="0"/>
    <xf numFmtId="0" fontId="2" fillId="110" borderId="0" applyNumberFormat="0" applyBorder="0" applyAlignment="0" applyProtection="0"/>
    <xf numFmtId="0" fontId="92" fillId="111" borderId="0" applyNumberFormat="0" applyBorder="0" applyAlignment="0" applyProtection="0"/>
    <xf numFmtId="0" fontId="2" fillId="112" borderId="0" applyNumberFormat="0" applyBorder="0" applyAlignment="0" applyProtection="0"/>
    <xf numFmtId="0" fontId="2" fillId="113" borderId="0" applyNumberFormat="0" applyBorder="0" applyAlignment="0" applyProtection="0"/>
    <xf numFmtId="0" fontId="2" fillId="114" borderId="0" applyNumberFormat="0" applyBorder="0" applyAlignment="0" applyProtection="0"/>
    <xf numFmtId="0" fontId="92" fillId="115" borderId="0" applyNumberFormat="0" applyBorder="0" applyAlignment="0" applyProtection="0"/>
    <xf numFmtId="0" fontId="2" fillId="116" borderId="0" applyNumberFormat="0" applyBorder="0" applyAlignment="0" applyProtection="0"/>
    <xf numFmtId="0" fontId="2" fillId="117" borderId="0" applyNumberFormat="0" applyBorder="0" applyAlignment="0" applyProtection="0"/>
    <xf numFmtId="0" fontId="2" fillId="118" borderId="0" applyNumberFormat="0" applyBorder="0" applyAlignment="0" applyProtection="0"/>
    <xf numFmtId="0" fontId="93" fillId="0" borderId="0"/>
    <xf numFmtId="0" fontId="2" fillId="98" borderId="0" applyNumberFormat="0" applyBorder="0" applyAlignment="0" applyProtection="0"/>
    <xf numFmtId="0" fontId="2" fillId="102" borderId="0" applyNumberFormat="0" applyBorder="0" applyAlignment="0" applyProtection="0"/>
    <xf numFmtId="0" fontId="2" fillId="106" borderId="0" applyNumberFormat="0" applyBorder="0" applyAlignment="0" applyProtection="0"/>
    <xf numFmtId="0" fontId="2" fillId="110" borderId="0" applyNumberFormat="0" applyBorder="0" applyAlignment="0" applyProtection="0"/>
    <xf numFmtId="0" fontId="2" fillId="114" borderId="0" applyNumberFormat="0" applyBorder="0" applyAlignment="0" applyProtection="0"/>
    <xf numFmtId="0" fontId="2" fillId="118" borderId="0" applyNumberFormat="0" applyBorder="0" applyAlignment="0" applyProtection="0"/>
    <xf numFmtId="43" fontId="62" fillId="0" borderId="0" applyFont="0" applyFill="0" applyBorder="0" applyAlignment="0" applyProtection="0"/>
    <xf numFmtId="0" fontId="84" fillId="90" borderId="0" applyNumberFormat="0" applyBorder="0" applyAlignment="0" applyProtection="0"/>
    <xf numFmtId="0" fontId="2" fillId="94" borderId="95" applyNumberFormat="0" applyFont="0" applyAlignment="0" applyProtection="0"/>
    <xf numFmtId="9" fontId="2" fillId="0" borderId="0" applyFont="0" applyFill="0" applyBorder="0" applyAlignment="0" applyProtection="0"/>
    <xf numFmtId="0" fontId="7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4" borderId="95" applyNumberFormat="0" applyFont="0" applyAlignment="0" applyProtection="0"/>
    <xf numFmtId="0" fontId="2" fillId="96" borderId="0" applyNumberFormat="0" applyBorder="0" applyAlignment="0" applyProtection="0"/>
    <xf numFmtId="0" fontId="2" fillId="97" borderId="0" applyNumberFormat="0" applyBorder="0" applyAlignment="0" applyProtection="0"/>
    <xf numFmtId="0" fontId="2" fillId="100" borderId="0" applyNumberFormat="0" applyBorder="0" applyAlignment="0" applyProtection="0"/>
    <xf numFmtId="0" fontId="2" fillId="101" borderId="0" applyNumberFormat="0" applyBorder="0" applyAlignment="0" applyProtection="0"/>
    <xf numFmtId="0" fontId="2" fillId="104" borderId="0" applyNumberFormat="0" applyBorder="0" applyAlignment="0" applyProtection="0"/>
    <xf numFmtId="0" fontId="2" fillId="105" borderId="0" applyNumberFormat="0" applyBorder="0" applyAlignment="0" applyProtection="0"/>
    <xf numFmtId="0" fontId="2" fillId="108" borderId="0" applyNumberFormat="0" applyBorder="0" applyAlignment="0" applyProtection="0"/>
    <xf numFmtId="0" fontId="2" fillId="109" borderId="0" applyNumberFormat="0" applyBorder="0" applyAlignment="0" applyProtection="0"/>
    <xf numFmtId="0" fontId="2" fillId="112" borderId="0" applyNumberFormat="0" applyBorder="0" applyAlignment="0" applyProtection="0"/>
    <xf numFmtId="0" fontId="2" fillId="113" borderId="0" applyNumberFormat="0" applyBorder="0" applyAlignment="0" applyProtection="0"/>
    <xf numFmtId="0" fontId="2" fillId="116" borderId="0" applyNumberFormat="0" applyBorder="0" applyAlignment="0" applyProtection="0"/>
    <xf numFmtId="0" fontId="2" fillId="117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62" fillId="0" borderId="0"/>
    <xf numFmtId="0" fontId="94" fillId="0" borderId="0">
      <alignment vertical="top"/>
    </xf>
    <xf numFmtId="0" fontId="68" fillId="0" borderId="0"/>
    <xf numFmtId="0" fontId="68" fillId="0" borderId="0"/>
    <xf numFmtId="44" fontId="2" fillId="0" borderId="0" applyFont="0" applyFill="0" applyBorder="0" applyAlignment="0" applyProtection="0"/>
    <xf numFmtId="0" fontId="62" fillId="0" borderId="0"/>
    <xf numFmtId="0" fontId="68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96" borderId="0" applyNumberFormat="0" applyBorder="0" applyAlignment="0" applyProtection="0"/>
    <xf numFmtId="0" fontId="2" fillId="97" borderId="0" applyNumberFormat="0" applyBorder="0" applyAlignment="0" applyProtection="0"/>
    <xf numFmtId="0" fontId="2" fillId="100" borderId="0" applyNumberFormat="0" applyBorder="0" applyAlignment="0" applyProtection="0"/>
    <xf numFmtId="0" fontId="2" fillId="101" borderId="0" applyNumberFormat="0" applyBorder="0" applyAlignment="0" applyProtection="0"/>
    <xf numFmtId="0" fontId="2" fillId="104" borderId="0" applyNumberFormat="0" applyBorder="0" applyAlignment="0" applyProtection="0"/>
    <xf numFmtId="0" fontId="2" fillId="105" borderId="0" applyNumberFormat="0" applyBorder="0" applyAlignment="0" applyProtection="0"/>
    <xf numFmtId="0" fontId="2" fillId="108" borderId="0" applyNumberFormat="0" applyBorder="0" applyAlignment="0" applyProtection="0"/>
    <xf numFmtId="0" fontId="2" fillId="109" borderId="0" applyNumberFormat="0" applyBorder="0" applyAlignment="0" applyProtection="0"/>
    <xf numFmtId="0" fontId="2" fillId="112" borderId="0" applyNumberFormat="0" applyBorder="0" applyAlignment="0" applyProtection="0"/>
    <xf numFmtId="0" fontId="2" fillId="113" borderId="0" applyNumberFormat="0" applyBorder="0" applyAlignment="0" applyProtection="0"/>
    <xf numFmtId="0" fontId="2" fillId="116" borderId="0" applyNumberFormat="0" applyBorder="0" applyAlignment="0" applyProtection="0"/>
    <xf numFmtId="0" fontId="2" fillId="117" borderId="0" applyNumberFormat="0" applyBorder="0" applyAlignment="0" applyProtection="0"/>
    <xf numFmtId="0" fontId="2" fillId="98" borderId="0" applyNumberFormat="0" applyBorder="0" applyAlignment="0" applyProtection="0"/>
    <xf numFmtId="0" fontId="2" fillId="102" borderId="0" applyNumberFormat="0" applyBorder="0" applyAlignment="0" applyProtection="0"/>
    <xf numFmtId="0" fontId="2" fillId="106" borderId="0" applyNumberFormat="0" applyBorder="0" applyAlignment="0" applyProtection="0"/>
    <xf numFmtId="0" fontId="2" fillId="110" borderId="0" applyNumberFormat="0" applyBorder="0" applyAlignment="0" applyProtection="0"/>
    <xf numFmtId="0" fontId="2" fillId="114" borderId="0" applyNumberFormat="0" applyBorder="0" applyAlignment="0" applyProtection="0"/>
    <xf numFmtId="0" fontId="2" fillId="118" borderId="0" applyNumberFormat="0" applyBorder="0" applyAlignment="0" applyProtection="0"/>
    <xf numFmtId="43" fontId="62" fillId="0" borderId="0" applyFont="0" applyFill="0" applyBorder="0" applyAlignment="0" applyProtection="0"/>
    <xf numFmtId="0" fontId="2" fillId="94" borderId="9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7" fillId="0" borderId="0">
      <alignment vertical="top"/>
    </xf>
  </cellStyleXfs>
  <cellXfs count="763">
    <xf numFmtId="0" fontId="0" fillId="0" borderId="0" xfId="0"/>
    <xf numFmtId="4" fontId="24" fillId="25" borderId="0" xfId="0" applyNumberFormat="1" applyFont="1" applyFill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" fontId="24" fillId="25" borderId="0" xfId="0" applyNumberFormat="1" applyFont="1" applyFill="1" applyAlignment="1">
      <alignment horizontal="center"/>
    </xf>
    <xf numFmtId="16" fontId="24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24" fillId="24" borderId="13" xfId="0" applyFont="1" applyFill="1" applyBorder="1" applyAlignment="1">
      <alignment horizontal="center"/>
    </xf>
    <xf numFmtId="0" fontId="24" fillId="24" borderId="10" xfId="0" applyFont="1" applyFill="1" applyBorder="1" applyAlignment="1">
      <alignment horizontal="center"/>
    </xf>
    <xf numFmtId="0" fontId="24" fillId="24" borderId="14" xfId="0" applyFont="1" applyFill="1" applyBorder="1" applyAlignment="1">
      <alignment horizontal="left"/>
    </xf>
    <xf numFmtId="0" fontId="24" fillId="24" borderId="15" xfId="0" applyFont="1" applyFill="1" applyBorder="1" applyAlignment="1">
      <alignment horizontal="right"/>
    </xf>
    <xf numFmtId="0" fontId="24" fillId="24" borderId="13" xfId="0" applyFont="1" applyFill="1" applyBorder="1"/>
    <xf numFmtId="0" fontId="24" fillId="24" borderId="16" xfId="0" applyFont="1" applyFill="1" applyBorder="1"/>
    <xf numFmtId="172" fontId="18" fillId="24" borderId="13" xfId="0" applyNumberFormat="1" applyFont="1" applyFill="1" applyBorder="1"/>
    <xf numFmtId="0" fontId="24" fillId="0" borderId="0" xfId="0" applyFont="1"/>
    <xf numFmtId="170" fontId="24" fillId="26" borderId="0" xfId="0" applyNumberFormat="1" applyFont="1" applyFill="1"/>
    <xf numFmtId="0" fontId="0" fillId="27" borderId="10" xfId="0" applyFill="1" applyBorder="1"/>
    <xf numFmtId="0" fontId="0" fillId="27" borderId="10" xfId="0" applyFill="1" applyBorder="1" applyAlignment="1">
      <alignment horizontal="center"/>
    </xf>
    <xf numFmtId="172" fontId="28" fillId="27" borderId="12" xfId="0" applyNumberFormat="1" applyFont="1" applyFill="1" applyBorder="1"/>
    <xf numFmtId="0" fontId="0" fillId="28" borderId="10" xfId="0" applyFill="1" applyBorder="1"/>
    <xf numFmtId="0" fontId="0" fillId="28" borderId="10" xfId="0" applyFill="1" applyBorder="1" applyAlignment="1">
      <alignment horizontal="center"/>
    </xf>
    <xf numFmtId="172" fontId="28" fillId="28" borderId="12" xfId="0" applyNumberFormat="1" applyFont="1" applyFill="1" applyBorder="1"/>
    <xf numFmtId="0" fontId="0" fillId="29" borderId="10" xfId="0" applyFill="1" applyBorder="1"/>
    <xf numFmtId="0" fontId="0" fillId="29" borderId="10" xfId="0" applyFill="1" applyBorder="1" applyAlignment="1">
      <alignment horizontal="center"/>
    </xf>
    <xf numFmtId="172" fontId="28" fillId="29" borderId="12" xfId="0" applyNumberFormat="1" applyFont="1" applyFill="1" applyBorder="1"/>
    <xf numFmtId="0" fontId="0" fillId="30" borderId="10" xfId="0" applyFill="1" applyBorder="1"/>
    <xf numFmtId="0" fontId="0" fillId="30" borderId="10" xfId="0" applyFill="1" applyBorder="1" applyAlignment="1">
      <alignment horizontal="center"/>
    </xf>
    <xf numFmtId="172" fontId="28" fillId="30" borderId="12" xfId="0" applyNumberFormat="1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/>
    <xf numFmtId="172" fontId="0" fillId="0" borderId="10" xfId="0" applyNumberFormat="1" applyBorder="1"/>
    <xf numFmtId="170" fontId="38" fillId="0" borderId="12" xfId="2" applyBorder="1" applyProtection="1"/>
    <xf numFmtId="0" fontId="0" fillId="0" borderId="12" xfId="0" applyBorder="1"/>
    <xf numFmtId="170" fontId="0" fillId="26" borderId="12" xfId="0" applyNumberFormat="1" applyFill="1" applyBorder="1"/>
    <xf numFmtId="0" fontId="0" fillId="24" borderId="10" xfId="0" applyFill="1" applyBorder="1"/>
    <xf numFmtId="172" fontId="0" fillId="30" borderId="10" xfId="0" applyNumberFormat="1" applyFill="1" applyBorder="1"/>
    <xf numFmtId="0" fontId="0" fillId="31" borderId="10" xfId="0" applyFill="1" applyBorder="1"/>
    <xf numFmtId="0" fontId="0" fillId="31" borderId="10" xfId="0" applyFill="1" applyBorder="1" applyAlignment="1">
      <alignment horizontal="center"/>
    </xf>
    <xf numFmtId="172" fontId="0" fillId="31" borderId="10" xfId="0" applyNumberFormat="1" applyFill="1" applyBorder="1"/>
    <xf numFmtId="0" fontId="29" fillId="0" borderId="10" xfId="0" applyFont="1" applyBorder="1" applyAlignment="1">
      <alignment horizontal="center"/>
    </xf>
    <xf numFmtId="170" fontId="24" fillId="32" borderId="0" xfId="0" applyNumberFormat="1" applyFont="1" applyFill="1"/>
    <xf numFmtId="0" fontId="0" fillId="0" borderId="20" xfId="0" applyBorder="1"/>
    <xf numFmtId="0" fontId="0" fillId="0" borderId="16" xfId="0" applyBorder="1" applyAlignment="1">
      <alignment horizontal="center"/>
    </xf>
    <xf numFmtId="172" fontId="0" fillId="19" borderId="10" xfId="0" applyNumberFormat="1" applyFill="1" applyBorder="1"/>
    <xf numFmtId="0" fontId="0" fillId="24" borderId="20" xfId="0" applyFill="1" applyBorder="1"/>
    <xf numFmtId="172" fontId="0" fillId="25" borderId="10" xfId="0" applyNumberFormat="1" applyFill="1" applyBorder="1"/>
    <xf numFmtId="0" fontId="0" fillId="25" borderId="0" xfId="0" applyFill="1"/>
    <xf numFmtId="0" fontId="29" fillId="0" borderId="16" xfId="0" applyFont="1" applyBorder="1" applyAlignment="1">
      <alignment horizontal="center"/>
    </xf>
    <xf numFmtId="0" fontId="29" fillId="0" borderId="10" xfId="0" applyFont="1" applyBorder="1"/>
    <xf numFmtId="172" fontId="29" fillId="0" borderId="10" xfId="0" applyNumberFormat="1" applyFont="1" applyBorder="1"/>
    <xf numFmtId="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70" fontId="0" fillId="26" borderId="0" xfId="0" applyNumberFormat="1" applyFill="1"/>
    <xf numFmtId="170" fontId="0" fillId="0" borderId="0" xfId="0" applyNumberFormat="1"/>
    <xf numFmtId="172" fontId="0" fillId="33" borderId="10" xfId="0" applyNumberFormat="1" applyFill="1" applyBorder="1"/>
    <xf numFmtId="0" fontId="29" fillId="24" borderId="10" xfId="0" applyFont="1" applyFill="1" applyBorder="1"/>
    <xf numFmtId="172" fontId="0" fillId="24" borderId="10" xfId="0" applyNumberFormat="1" applyFill="1" applyBorder="1"/>
    <xf numFmtId="0" fontId="0" fillId="0" borderId="10" xfId="0" applyBorder="1" applyAlignment="1">
      <alignment vertical="center"/>
    </xf>
    <xf numFmtId="172" fontId="0" fillId="29" borderId="10" xfId="0" applyNumberFormat="1" applyFill="1" applyBorder="1"/>
    <xf numFmtId="0" fontId="0" fillId="24" borderId="10" xfId="0" applyFill="1" applyBorder="1" applyAlignment="1">
      <alignment horizontal="center"/>
    </xf>
    <xf numFmtId="0" fontId="0" fillId="34" borderId="18" xfId="0" applyFill="1" applyBorder="1"/>
    <xf numFmtId="0" fontId="0" fillId="34" borderId="11" xfId="0" applyFill="1" applyBorder="1"/>
    <xf numFmtId="173" fontId="0" fillId="0" borderId="12" xfId="0" applyNumberFormat="1" applyBorder="1"/>
    <xf numFmtId="14" fontId="0" fillId="0" borderId="12" xfId="0" applyNumberFormat="1" applyBorder="1"/>
    <xf numFmtId="0" fontId="30" fillId="29" borderId="10" xfId="0" applyFont="1" applyFill="1" applyBorder="1"/>
    <xf numFmtId="0" fontId="30" fillId="29" borderId="10" xfId="0" applyFont="1" applyFill="1" applyBorder="1" applyAlignment="1">
      <alignment horizontal="center"/>
    </xf>
    <xf numFmtId="0" fontId="0" fillId="0" borderId="12" xfId="0" applyBorder="1" applyAlignment="1">
      <alignment horizontal="right"/>
    </xf>
    <xf numFmtId="4" fontId="0" fillId="0" borderId="0" xfId="0" applyNumberFormat="1"/>
    <xf numFmtId="172" fontId="0" fillId="28" borderId="10" xfId="0" applyNumberFormat="1" applyFill="1" applyBorder="1"/>
    <xf numFmtId="172" fontId="0" fillId="27" borderId="10" xfId="0" applyNumberFormat="1" applyFill="1" applyBorder="1"/>
    <xf numFmtId="172" fontId="30" fillId="29" borderId="10" xfId="0" applyNumberFormat="1" applyFont="1" applyFill="1" applyBorder="1"/>
    <xf numFmtId="174" fontId="0" fillId="0" borderId="0" xfId="0" applyNumberFormat="1"/>
    <xf numFmtId="172" fontId="18" fillId="24" borderId="10" xfId="0" applyNumberFormat="1" applyFont="1" applyFill="1" applyBorder="1"/>
    <xf numFmtId="172" fontId="18" fillId="25" borderId="10" xfId="0" applyNumberFormat="1" applyFont="1" applyFill="1" applyBorder="1"/>
    <xf numFmtId="172" fontId="0" fillId="31" borderId="12" xfId="0" applyNumberFormat="1" applyFill="1" applyBorder="1"/>
    <xf numFmtId="172" fontId="18" fillId="0" borderId="10" xfId="0" applyNumberFormat="1" applyFont="1" applyBorder="1"/>
    <xf numFmtId="0" fontId="0" fillId="35" borderId="10" xfId="0" applyFill="1" applyBorder="1" applyAlignment="1">
      <alignment horizontal="center"/>
    </xf>
    <xf numFmtId="0" fontId="0" fillId="35" borderId="10" xfId="0" applyFill="1" applyBorder="1"/>
    <xf numFmtId="172" fontId="18" fillId="35" borderId="10" xfId="0" applyNumberFormat="1" applyFont="1" applyFill="1" applyBorder="1"/>
    <xf numFmtId="172" fontId="0" fillId="31" borderId="20" xfId="0" applyNumberFormat="1" applyFill="1" applyBorder="1"/>
    <xf numFmtId="0" fontId="0" fillId="19" borderId="10" xfId="0" applyFill="1" applyBorder="1" applyAlignment="1">
      <alignment horizontal="center"/>
    </xf>
    <xf numFmtId="0" fontId="0" fillId="19" borderId="10" xfId="0" applyFill="1" applyBorder="1"/>
    <xf numFmtId="172" fontId="0" fillId="19" borderId="13" xfId="0" applyNumberFormat="1" applyFill="1" applyBorder="1"/>
    <xf numFmtId="4" fontId="24" fillId="25" borderId="0" xfId="0" applyNumberFormat="1" applyFont="1" applyFill="1"/>
    <xf numFmtId="0" fontId="0" fillId="34" borderId="19" xfId="0" applyFill="1" applyBorder="1"/>
    <xf numFmtId="172" fontId="0" fillId="35" borderId="10" xfId="0" applyNumberFormat="1" applyFill="1" applyBorder="1"/>
    <xf numFmtId="14" fontId="0" fillId="32" borderId="12" xfId="0" applyNumberFormat="1" applyFill="1" applyBorder="1"/>
    <xf numFmtId="173" fontId="0" fillId="32" borderId="12" xfId="0" applyNumberFormat="1" applyFill="1" applyBorder="1"/>
    <xf numFmtId="0" fontId="0" fillId="32" borderId="12" xfId="0" applyFill="1" applyBorder="1"/>
    <xf numFmtId="0" fontId="18" fillId="0" borderId="0" xfId="0" applyFont="1"/>
    <xf numFmtId="172" fontId="0" fillId="36" borderId="10" xfId="0" applyNumberFormat="1" applyFill="1" applyBorder="1"/>
    <xf numFmtId="0" fontId="0" fillId="0" borderId="22" xfId="0" applyBorder="1" applyAlignment="1">
      <alignment horizontal="center"/>
    </xf>
    <xf numFmtId="173" fontId="0" fillId="0" borderId="12" xfId="0" applyNumberFormat="1" applyBorder="1" applyAlignment="1">
      <alignment horizontal="center"/>
    </xf>
    <xf numFmtId="0" fontId="0" fillId="37" borderId="12" xfId="0" applyFill="1" applyBorder="1"/>
    <xf numFmtId="0" fontId="0" fillId="37" borderId="11" xfId="0" applyFill="1" applyBorder="1"/>
    <xf numFmtId="14" fontId="0" fillId="0" borderId="23" xfId="0" applyNumberFormat="1" applyBorder="1"/>
    <xf numFmtId="173" fontId="18" fillId="35" borderId="18" xfId="0" applyNumberFormat="1" applyFont="1" applyFill="1" applyBorder="1"/>
    <xf numFmtId="14" fontId="18" fillId="25" borderId="11" xfId="0" applyNumberFormat="1" applyFont="1" applyFill="1" applyBorder="1"/>
    <xf numFmtId="0" fontId="0" fillId="34" borderId="24" xfId="0" applyFill="1" applyBorder="1"/>
    <xf numFmtId="0" fontId="0" fillId="34" borderId="21" xfId="0" applyFill="1" applyBorder="1"/>
    <xf numFmtId="0" fontId="0" fillId="34" borderId="25" xfId="0" applyFill="1" applyBorder="1"/>
    <xf numFmtId="0" fontId="0" fillId="19" borderId="0" xfId="0" applyFill="1"/>
    <xf numFmtId="167" fontId="38" fillId="0" borderId="0" xfId="1" applyBorder="1" applyProtection="1"/>
    <xf numFmtId="175" fontId="24" fillId="25" borderId="0" xfId="0" applyNumberFormat="1" applyFont="1" applyFill="1"/>
    <xf numFmtId="172" fontId="0" fillId="28" borderId="20" xfId="0" applyNumberFormat="1" applyFill="1" applyBorder="1"/>
    <xf numFmtId="172" fontId="28" fillId="0" borderId="12" xfId="0" applyNumberFormat="1" applyFont="1" applyBorder="1"/>
    <xf numFmtId="0" fontId="8" fillId="38" borderId="10" xfId="0" applyFont="1" applyFill="1" applyBorder="1"/>
    <xf numFmtId="0" fontId="8" fillId="38" borderId="10" xfId="0" applyFont="1" applyFill="1" applyBorder="1" applyAlignment="1">
      <alignment horizontal="center"/>
    </xf>
    <xf numFmtId="172" fontId="8" fillId="38" borderId="26" xfId="0" applyNumberFormat="1" applyFont="1" applyFill="1" applyBorder="1"/>
    <xf numFmtId="172" fontId="8" fillId="38" borderId="12" xfId="0" applyNumberFormat="1" applyFont="1" applyFill="1" applyBorder="1"/>
    <xf numFmtId="172" fontId="0" fillId="28" borderId="12" xfId="0" applyNumberFormat="1" applyFill="1" applyBorder="1"/>
    <xf numFmtId="172" fontId="0" fillId="39" borderId="12" xfId="0" applyNumberFormat="1" applyFill="1" applyBorder="1"/>
    <xf numFmtId="0" fontId="0" fillId="40" borderId="10" xfId="0" applyFill="1" applyBorder="1"/>
    <xf numFmtId="0" fontId="0" fillId="40" borderId="10" xfId="0" applyFill="1" applyBorder="1" applyAlignment="1">
      <alignment horizontal="center"/>
    </xf>
    <xf numFmtId="172" fontId="0" fillId="40" borderId="27" xfId="0" applyNumberFormat="1" applyFill="1" applyBorder="1"/>
    <xf numFmtId="16" fontId="24" fillId="41" borderId="0" xfId="0" applyNumberFormat="1" applyFont="1" applyFill="1" applyAlignment="1">
      <alignment horizontal="center"/>
    </xf>
    <xf numFmtId="0" fontId="34" fillId="0" borderId="12" xfId="0" applyFont="1" applyBorder="1" applyAlignment="1">
      <alignment horizontal="center" vertical="center" wrapText="1"/>
    </xf>
    <xf numFmtId="0" fontId="0" fillId="24" borderId="14" xfId="0" applyFill="1" applyBorder="1" applyAlignment="1">
      <alignment horizontal="left"/>
    </xf>
    <xf numFmtId="0" fontId="24" fillId="24" borderId="28" xfId="0" applyFont="1" applyFill="1" applyBorder="1" applyAlignment="1">
      <alignment horizontal="right"/>
    </xf>
    <xf numFmtId="172" fontId="34" fillId="24" borderId="13" xfId="0" applyNumberFormat="1" applyFont="1" applyFill="1" applyBorder="1"/>
    <xf numFmtId="172" fontId="34" fillId="24" borderId="12" xfId="0" applyNumberFormat="1" applyFont="1" applyFill="1" applyBorder="1"/>
    <xf numFmtId="170" fontId="24" fillId="0" borderId="12" xfId="0" applyNumberFormat="1" applyFont="1" applyBorder="1" applyAlignment="1">
      <alignment vertical="center"/>
    </xf>
    <xf numFmtId="0" fontId="8" fillId="42" borderId="0" xfId="0" applyFont="1" applyFill="1"/>
    <xf numFmtId="172" fontId="0" fillId="31" borderId="29" xfId="0" applyNumberFormat="1" applyFill="1" applyBorder="1"/>
    <xf numFmtId="172" fontId="0" fillId="0" borderId="13" xfId="0" applyNumberFormat="1" applyBorder="1"/>
    <xf numFmtId="172" fontId="0" fillId="0" borderId="12" xfId="0" applyNumberFormat="1" applyBorder="1"/>
    <xf numFmtId="172" fontId="0" fillId="31" borderId="28" xfId="0" applyNumberFormat="1" applyFill="1" applyBorder="1"/>
    <xf numFmtId="172" fontId="0" fillId="31" borderId="13" xfId="0" applyNumberFormat="1" applyFill="1" applyBorder="1"/>
    <xf numFmtId="172" fontId="29" fillId="0" borderId="13" xfId="0" applyNumberFormat="1" applyFont="1" applyBorder="1"/>
    <xf numFmtId="172" fontId="29" fillId="0" borderId="12" xfId="0" applyNumberFormat="1" applyFont="1" applyBorder="1"/>
    <xf numFmtId="0" fontId="0" fillId="24" borderId="13" xfId="0" applyFill="1" applyBorder="1"/>
    <xf numFmtId="172" fontId="0" fillId="30" borderId="13" xfId="0" applyNumberFormat="1" applyFill="1" applyBorder="1"/>
    <xf numFmtId="172" fontId="0" fillId="30" borderId="12" xfId="0" applyNumberFormat="1" applyFill="1" applyBorder="1"/>
    <xf numFmtId="172" fontId="0" fillId="0" borderId="22" xfId="0" applyNumberFormat="1" applyBorder="1"/>
    <xf numFmtId="176" fontId="0" fillId="0" borderId="0" xfId="0" applyNumberFormat="1"/>
    <xf numFmtId="172" fontId="0" fillId="24" borderId="13" xfId="0" applyNumberFormat="1" applyFill="1" applyBorder="1"/>
    <xf numFmtId="172" fontId="0" fillId="43" borderId="12" xfId="0" applyNumberFormat="1" applyFill="1" applyBorder="1"/>
    <xf numFmtId="172" fontId="0" fillId="0" borderId="30" xfId="0" applyNumberFormat="1" applyBorder="1"/>
    <xf numFmtId="172" fontId="0" fillId="29" borderId="13" xfId="0" applyNumberFormat="1" applyFill="1" applyBorder="1"/>
    <xf numFmtId="172" fontId="0" fillId="29" borderId="12" xfId="0" applyNumberFormat="1" applyFill="1" applyBorder="1"/>
    <xf numFmtId="172" fontId="0" fillId="0" borderId="26" xfId="0" applyNumberFormat="1" applyBorder="1"/>
    <xf numFmtId="172" fontId="0" fillId="24" borderId="31" xfId="0" applyNumberFormat="1" applyFill="1" applyBorder="1"/>
    <xf numFmtId="0" fontId="0" fillId="42" borderId="0" xfId="0" applyFill="1"/>
    <xf numFmtId="172" fontId="0" fillId="0" borderId="0" xfId="0" applyNumberFormat="1"/>
    <xf numFmtId="172" fontId="0" fillId="42" borderId="12" xfId="0" applyNumberFormat="1" applyFill="1" applyBorder="1"/>
    <xf numFmtId="172" fontId="0" fillId="28" borderId="13" xfId="0" applyNumberFormat="1" applyFill="1" applyBorder="1"/>
    <xf numFmtId="172" fontId="0" fillId="44" borderId="0" xfId="0" applyNumberFormat="1" applyFill="1"/>
    <xf numFmtId="4" fontId="0" fillId="44" borderId="0" xfId="0" applyNumberFormat="1" applyFill="1"/>
    <xf numFmtId="172" fontId="0" fillId="27" borderId="13" xfId="0" applyNumberFormat="1" applyFill="1" applyBorder="1"/>
    <xf numFmtId="172" fontId="0" fillId="27" borderId="12" xfId="0" applyNumberFormat="1" applyFill="1" applyBorder="1"/>
    <xf numFmtId="172" fontId="30" fillId="29" borderId="13" xfId="0" applyNumberFormat="1" applyFont="1" applyFill="1" applyBorder="1"/>
    <xf numFmtId="172" fontId="30" fillId="29" borderId="12" xfId="0" applyNumberFormat="1" applyFont="1" applyFill="1" applyBorder="1"/>
    <xf numFmtId="172" fontId="29" fillId="43" borderId="12" xfId="0" applyNumberFormat="1" applyFont="1" applyFill="1" applyBorder="1"/>
    <xf numFmtId="172" fontId="11" fillId="42" borderId="12" xfId="0" applyNumberFormat="1" applyFont="1" applyFill="1" applyBorder="1"/>
    <xf numFmtId="172" fontId="0" fillId="31" borderId="18" xfId="0" applyNumberFormat="1" applyFill="1" applyBorder="1"/>
    <xf numFmtId="177" fontId="36" fillId="0" borderId="0" xfId="84" applyNumberFormat="1" applyFont="1"/>
    <xf numFmtId="177" fontId="0" fillId="0" borderId="0" xfId="0" applyNumberFormat="1"/>
    <xf numFmtId="172" fontId="8" fillId="42" borderId="12" xfId="0" applyNumberFormat="1" applyFont="1" applyFill="1" applyBorder="1"/>
    <xf numFmtId="0" fontId="35" fillId="0" borderId="0" xfId="0" applyFont="1"/>
    <xf numFmtId="0" fontId="35" fillId="24" borderId="10" xfId="0" applyFont="1" applyFill="1" applyBorder="1"/>
    <xf numFmtId="0" fontId="35" fillId="0" borderId="10" xfId="0" applyFont="1" applyBorder="1"/>
    <xf numFmtId="172" fontId="29" fillId="43" borderId="10" xfId="0" applyNumberFormat="1" applyFont="1" applyFill="1" applyBorder="1"/>
    <xf numFmtId="14" fontId="0" fillId="43" borderId="12" xfId="0" applyNumberFormat="1" applyFill="1" applyBorder="1"/>
    <xf numFmtId="173" fontId="0" fillId="43" borderId="12" xfId="0" applyNumberFormat="1" applyFill="1" applyBorder="1"/>
    <xf numFmtId="0" fontId="0" fillId="43" borderId="12" xfId="0" applyFill="1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vertical="center"/>
    </xf>
    <xf numFmtId="172" fontId="0" fillId="24" borderId="12" xfId="0" applyNumberFormat="1" applyFill="1" applyBorder="1"/>
    <xf numFmtId="0" fontId="0" fillId="43" borderId="10" xfId="0" applyFill="1" applyBorder="1" applyAlignment="1">
      <alignment horizontal="center"/>
    </xf>
    <xf numFmtId="0" fontId="0" fillId="43" borderId="10" xfId="0" applyFill="1" applyBorder="1"/>
    <xf numFmtId="172" fontId="0" fillId="43" borderId="10" xfId="0" applyNumberFormat="1" applyFill="1" applyBorder="1"/>
    <xf numFmtId="172" fontId="0" fillId="43" borderId="13" xfId="0" applyNumberFormat="1" applyFill="1" applyBorder="1"/>
    <xf numFmtId="0" fontId="0" fillId="43" borderId="0" xfId="0" applyFill="1"/>
    <xf numFmtId="172" fontId="0" fillId="30" borderId="15" xfId="0" applyNumberFormat="1" applyFill="1" applyBorder="1"/>
    <xf numFmtId="172" fontId="0" fillId="30" borderId="33" xfId="0" applyNumberFormat="1" applyFill="1" applyBorder="1"/>
    <xf numFmtId="172" fontId="0" fillId="30" borderId="23" xfId="0" applyNumberFormat="1" applyFill="1" applyBorder="1"/>
    <xf numFmtId="173" fontId="29" fillId="0" borderId="18" xfId="0" applyNumberFormat="1" applyFont="1" applyBorder="1"/>
    <xf numFmtId="173" fontId="0" fillId="25" borderId="12" xfId="0" applyNumberFormat="1" applyFill="1" applyBorder="1"/>
    <xf numFmtId="172" fontId="0" fillId="45" borderId="10" xfId="0" applyNumberFormat="1" applyFill="1" applyBorder="1"/>
    <xf numFmtId="172" fontId="29" fillId="42" borderId="12" xfId="0" applyNumberFormat="1" applyFont="1" applyFill="1" applyBorder="1"/>
    <xf numFmtId="172" fontId="0" fillId="43" borderId="32" xfId="0" applyNumberFormat="1" applyFill="1" applyBorder="1"/>
    <xf numFmtId="14" fontId="0" fillId="0" borderId="0" xfId="0" applyNumberFormat="1"/>
    <xf numFmtId="173" fontId="0" fillId="0" borderId="0" xfId="0" applyNumberFormat="1"/>
    <xf numFmtId="172" fontId="0" fillId="29" borderId="29" xfId="0" applyNumberFormat="1" applyFill="1" applyBorder="1"/>
    <xf numFmtId="173" fontId="18" fillId="0" borderId="18" xfId="0" applyNumberFormat="1" applyFont="1" applyBorder="1"/>
    <xf numFmtId="172" fontId="0" fillId="25" borderId="12" xfId="0" applyNumberFormat="1" applyFill="1" applyBorder="1"/>
    <xf numFmtId="172" fontId="0" fillId="29" borderId="28" xfId="0" applyNumberFormat="1" applyFill="1" applyBorder="1"/>
    <xf numFmtId="172" fontId="0" fillId="29" borderId="22" xfId="0" applyNumberFormat="1" applyFill="1" applyBorder="1"/>
    <xf numFmtId="172" fontId="0" fillId="29" borderId="34" xfId="0" applyNumberFormat="1" applyFill="1" applyBorder="1"/>
    <xf numFmtId="0" fontId="0" fillId="28" borderId="13" xfId="0" applyFill="1" applyBorder="1"/>
    <xf numFmtId="172" fontId="29" fillId="28" borderId="12" xfId="0" applyNumberFormat="1" applyFont="1" applyFill="1" applyBorder="1"/>
    <xf numFmtId="0" fontId="0" fillId="24" borderId="35" xfId="0" applyFill="1" applyBorder="1"/>
    <xf numFmtId="172" fontId="28" fillId="0" borderId="32" xfId="0" applyNumberFormat="1" applyFont="1" applyBorder="1"/>
    <xf numFmtId="172" fontId="0" fillId="24" borderId="32" xfId="0" applyNumberFormat="1" applyFill="1" applyBorder="1"/>
    <xf numFmtId="0" fontId="0" fillId="28" borderId="13" xfId="0" applyFill="1" applyBorder="1" applyAlignment="1">
      <alignment horizontal="center"/>
    </xf>
    <xf numFmtId="0" fontId="0" fillId="28" borderId="12" xfId="0" applyFill="1" applyBorder="1"/>
    <xf numFmtId="0" fontId="0" fillId="0" borderId="13" xfId="0" applyBorder="1" applyAlignment="1">
      <alignment horizontal="center"/>
    </xf>
    <xf numFmtId="0" fontId="0" fillId="24" borderId="12" xfId="0" applyFill="1" applyBorder="1"/>
    <xf numFmtId="0" fontId="8" fillId="38" borderId="15" xfId="0" applyFont="1" applyFill="1" applyBorder="1"/>
    <xf numFmtId="172" fontId="8" fillId="38" borderId="36" xfId="0" applyNumberFormat="1" applyFont="1" applyFill="1" applyBorder="1"/>
    <xf numFmtId="172" fontId="8" fillId="38" borderId="33" xfId="0" applyNumberFormat="1" applyFont="1" applyFill="1" applyBorder="1"/>
    <xf numFmtId="172" fontId="8" fillId="38" borderId="23" xfId="0" applyNumberFormat="1" applyFont="1" applyFill="1" applyBorder="1"/>
    <xf numFmtId="172" fontId="0" fillId="28" borderId="18" xfId="0" applyNumberFormat="1" applyFill="1" applyBorder="1"/>
    <xf numFmtId="172" fontId="0" fillId="39" borderId="18" xfId="0" applyNumberFormat="1" applyFill="1" applyBorder="1"/>
    <xf numFmtId="172" fontId="0" fillId="40" borderId="37" xfId="0" applyNumberFormat="1" applyFill="1" applyBorder="1"/>
    <xf numFmtId="172" fontId="0" fillId="40" borderId="12" xfId="0" applyNumberFormat="1" applyFill="1" applyBorder="1"/>
    <xf numFmtId="172" fontId="0" fillId="0" borderId="12" xfId="0" applyNumberFormat="1" applyBorder="1" applyAlignment="1">
      <alignment horizontal="left"/>
    </xf>
    <xf numFmtId="4" fontId="0" fillId="0" borderId="12" xfId="0" applyNumberFormat="1" applyBorder="1"/>
    <xf numFmtId="4" fontId="0" fillId="0" borderId="12" xfId="0" applyNumberFormat="1" applyBorder="1" applyAlignment="1">
      <alignment horizontal="left"/>
    </xf>
    <xf numFmtId="10" fontId="38" fillId="43" borderId="12" xfId="3" applyNumberFormat="1" applyFill="1" applyBorder="1" applyProtection="1"/>
    <xf numFmtId="10" fontId="38" fillId="46" borderId="12" xfId="3" applyNumberFormat="1" applyFill="1" applyBorder="1" applyProtection="1"/>
    <xf numFmtId="10" fontId="37" fillId="19" borderId="0" xfId="0" applyNumberFormat="1" applyFont="1" applyFill="1" applyAlignment="1">
      <alignment horizontal="left"/>
    </xf>
    <xf numFmtId="172" fontId="0" fillId="47" borderId="12" xfId="0" applyNumberFormat="1" applyFill="1" applyBorder="1"/>
    <xf numFmtId="172" fontId="0" fillId="0" borderId="18" xfId="0" applyNumberFormat="1" applyBorder="1"/>
    <xf numFmtId="0" fontId="0" fillId="47" borderId="0" xfId="0" applyFill="1"/>
    <xf numFmtId="0" fontId="41" fillId="0" borderId="12" xfId="0" applyFont="1" applyBorder="1"/>
    <xf numFmtId="9" fontId="0" fillId="0" borderId="0" xfId="0" applyNumberFormat="1"/>
    <xf numFmtId="0" fontId="42" fillId="0" borderId="12" xfId="0" applyFont="1" applyBorder="1" applyAlignment="1">
      <alignment horizontal="center"/>
    </xf>
    <xf numFmtId="9" fontId="41" fillId="0" borderId="12" xfId="3" applyFont="1" applyBorder="1" applyAlignment="1">
      <alignment horizontal="center"/>
    </xf>
    <xf numFmtId="9" fontId="38" fillId="0" borderId="12" xfId="3" applyBorder="1" applyAlignment="1">
      <alignment horizontal="center"/>
    </xf>
    <xf numFmtId="178" fontId="41" fillId="0" borderId="18" xfId="0" applyNumberFormat="1" applyFont="1" applyBorder="1" applyAlignment="1">
      <alignment horizontal="center" vertical="center"/>
    </xf>
    <xf numFmtId="178" fontId="41" fillId="0" borderId="12" xfId="0" applyNumberFormat="1" applyFont="1" applyBorder="1" applyAlignment="1">
      <alignment horizontal="center" vertical="center"/>
    </xf>
    <xf numFmtId="178" fontId="38" fillId="0" borderId="18" xfId="1" applyNumberFormat="1" applyBorder="1" applyAlignment="1">
      <alignment horizontal="center" vertical="center"/>
    </xf>
    <xf numFmtId="178" fontId="38" fillId="0" borderId="12" xfId="1" applyNumberFormat="1" applyBorder="1" applyAlignment="1">
      <alignment horizontal="center" vertical="center"/>
    </xf>
    <xf numFmtId="167" fontId="38" fillId="0" borderId="12" xfId="1" applyBorder="1" applyAlignment="1">
      <alignment horizontal="center" vertical="center"/>
    </xf>
    <xf numFmtId="0" fontId="0" fillId="48" borderId="12" xfId="0" applyFill="1" applyBorder="1"/>
    <xf numFmtId="178" fontId="38" fillId="48" borderId="18" xfId="1" applyNumberFormat="1" applyFill="1" applyBorder="1" applyAlignment="1">
      <alignment horizontal="center" vertical="center"/>
    </xf>
    <xf numFmtId="178" fontId="38" fillId="48" borderId="12" xfId="1" applyNumberFormat="1" applyFill="1" applyBorder="1" applyAlignment="1">
      <alignment horizontal="center" vertical="center"/>
    </xf>
    <xf numFmtId="9" fontId="38" fillId="48" borderId="12" xfId="3" applyFill="1" applyBorder="1" applyAlignment="1">
      <alignment horizontal="center"/>
    </xf>
    <xf numFmtId="172" fontId="43" fillId="42" borderId="23" xfId="0" applyNumberFormat="1" applyFont="1" applyFill="1" applyBorder="1"/>
    <xf numFmtId="172" fontId="45" fillId="49" borderId="12" xfId="0" applyNumberFormat="1" applyFont="1" applyFill="1" applyBorder="1"/>
    <xf numFmtId="172" fontId="45" fillId="50" borderId="12" xfId="0" applyNumberFormat="1" applyFont="1" applyFill="1" applyBorder="1"/>
    <xf numFmtId="172" fontId="45" fillId="51" borderId="12" xfId="0" applyNumberFormat="1" applyFont="1" applyFill="1" applyBorder="1"/>
    <xf numFmtId="172" fontId="45" fillId="52" borderId="12" xfId="0" applyNumberFormat="1" applyFont="1" applyFill="1" applyBorder="1"/>
    <xf numFmtId="172" fontId="0" fillId="52" borderId="10" xfId="0" applyNumberFormat="1" applyFill="1" applyBorder="1"/>
    <xf numFmtId="172" fontId="0" fillId="53" borderId="10" xfId="0" applyNumberFormat="1" applyFill="1" applyBorder="1"/>
    <xf numFmtId="172" fontId="46" fillId="0" borderId="10" xfId="0" applyNumberFormat="1" applyFont="1" applyBorder="1"/>
    <xf numFmtId="172" fontId="0" fillId="54" borderId="10" xfId="0" applyNumberFormat="1" applyFill="1" applyBorder="1"/>
    <xf numFmtId="172" fontId="0" fillId="51" borderId="10" xfId="0" applyNumberFormat="1" applyFill="1" applyBorder="1"/>
    <xf numFmtId="172" fontId="0" fillId="50" borderId="10" xfId="0" applyNumberFormat="1" applyFill="1" applyBorder="1"/>
    <xf numFmtId="172" fontId="0" fillId="49" borderId="10" xfId="0" applyNumberFormat="1" applyFill="1" applyBorder="1"/>
    <xf numFmtId="172" fontId="47" fillId="51" borderId="10" xfId="0" applyNumberFormat="1" applyFont="1" applyFill="1" applyBorder="1"/>
    <xf numFmtId="172" fontId="0" fillId="53" borderId="12" xfId="0" applyNumberFormat="1" applyFill="1" applyBorder="1"/>
    <xf numFmtId="172" fontId="44" fillId="0" borderId="10" xfId="0" applyNumberFormat="1" applyFont="1" applyBorder="1"/>
    <xf numFmtId="172" fontId="44" fillId="55" borderId="10" xfId="0" applyNumberFormat="1" applyFont="1" applyFill="1" applyBorder="1"/>
    <xf numFmtId="172" fontId="0" fillId="53" borderId="20" xfId="0" applyNumberFormat="1" applyFill="1" applyBorder="1"/>
    <xf numFmtId="172" fontId="0" fillId="55" borderId="10" xfId="0" applyNumberFormat="1" applyFill="1" applyBorder="1"/>
    <xf numFmtId="172" fontId="0" fillId="50" borderId="20" xfId="0" applyNumberFormat="1" applyFill="1" applyBorder="1"/>
    <xf numFmtId="172" fontId="45" fillId="0" borderId="12" xfId="0" applyNumberFormat="1" applyFont="1" applyBorder="1"/>
    <xf numFmtId="172" fontId="48" fillId="56" borderId="26" xfId="0" applyNumberFormat="1" applyFont="1" applyFill="1" applyBorder="1"/>
    <xf numFmtId="172" fontId="0" fillId="50" borderId="12" xfId="0" applyNumberFormat="1" applyFill="1" applyBorder="1"/>
    <xf numFmtId="172" fontId="0" fillId="57" borderId="12" xfId="0" applyNumberFormat="1" applyFill="1" applyBorder="1"/>
    <xf numFmtId="172" fontId="0" fillId="58" borderId="27" xfId="0" applyNumberFormat="1" applyFill="1" applyBorder="1"/>
    <xf numFmtId="172" fontId="0" fillId="57" borderId="10" xfId="0" applyNumberFormat="1" applyFill="1" applyBorder="1"/>
    <xf numFmtId="172" fontId="0" fillId="57" borderId="13" xfId="0" applyNumberFormat="1" applyFill="1" applyBorder="1"/>
    <xf numFmtId="172" fontId="0" fillId="68" borderId="0" xfId="0" applyNumberFormat="1" applyFill="1" applyAlignment="1">
      <alignment horizontal="left"/>
    </xf>
    <xf numFmtId="172" fontId="37" fillId="63" borderId="0" xfId="0" applyNumberFormat="1" applyFont="1" applyFill="1" applyAlignment="1">
      <alignment horizontal="left"/>
    </xf>
    <xf numFmtId="172" fontId="41" fillId="64" borderId="0" xfId="0" applyNumberFormat="1" applyFont="1" applyFill="1" applyAlignment="1">
      <alignment horizontal="left"/>
    </xf>
    <xf numFmtId="16" fontId="24" fillId="57" borderId="0" xfId="0" applyNumberFormat="1" applyFont="1" applyFill="1" applyAlignment="1">
      <alignment horizontal="left"/>
    </xf>
    <xf numFmtId="0" fontId="34" fillId="57" borderId="0" xfId="0" applyFont="1" applyFill="1" applyAlignment="1">
      <alignment horizontal="left" vertical="center" wrapText="1"/>
    </xf>
    <xf numFmtId="0" fontId="24" fillId="62" borderId="0" xfId="0" applyFont="1" applyFill="1" applyAlignment="1">
      <alignment horizontal="left"/>
    </xf>
    <xf numFmtId="172" fontId="18" fillId="62" borderId="0" xfId="0" applyNumberFormat="1" applyFont="1" applyFill="1" applyAlignment="1">
      <alignment horizontal="left"/>
    </xf>
    <xf numFmtId="172" fontId="28" fillId="63" borderId="0" xfId="0" applyNumberFormat="1" applyFont="1" applyFill="1" applyAlignment="1">
      <alignment horizontal="left"/>
    </xf>
    <xf numFmtId="172" fontId="28" fillId="64" borderId="0" xfId="0" applyNumberFormat="1" applyFont="1" applyFill="1" applyAlignment="1">
      <alignment horizontal="left"/>
    </xf>
    <xf numFmtId="172" fontId="28" fillId="65" borderId="0" xfId="0" applyNumberFormat="1" applyFont="1" applyFill="1" applyAlignment="1">
      <alignment horizontal="left"/>
    </xf>
    <xf numFmtId="172" fontId="28" fillId="66" borderId="0" xfId="0" applyNumberFormat="1" applyFont="1" applyFill="1" applyAlignment="1">
      <alignment horizontal="left"/>
    </xf>
    <xf numFmtId="172" fontId="0" fillId="57" borderId="0" xfId="0" applyNumberFormat="1" applyFill="1" applyAlignment="1">
      <alignment horizontal="left"/>
    </xf>
    <xf numFmtId="172" fontId="0" fillId="66" borderId="0" xfId="0" applyNumberFormat="1" applyFill="1" applyAlignment="1">
      <alignment horizontal="left"/>
    </xf>
    <xf numFmtId="172" fontId="0" fillId="64" borderId="0" xfId="0" applyNumberFormat="1" applyFill="1" applyAlignment="1">
      <alignment horizontal="left"/>
    </xf>
    <xf numFmtId="172" fontId="29" fillId="57" borderId="0" xfId="0" applyNumberFormat="1" applyFont="1" applyFill="1" applyAlignment="1">
      <alignment horizontal="left"/>
    </xf>
    <xf numFmtId="172" fontId="0" fillId="65" borderId="0" xfId="0" applyNumberFormat="1" applyFill="1" applyAlignment="1">
      <alignment horizontal="left"/>
    </xf>
    <xf numFmtId="172" fontId="0" fillId="63" borderId="0" xfId="0" applyNumberFormat="1" applyFill="1" applyAlignment="1">
      <alignment horizontal="left"/>
    </xf>
    <xf numFmtId="172" fontId="30" fillId="65" borderId="0" xfId="0" applyNumberFormat="1" applyFont="1" applyFill="1" applyAlignment="1">
      <alignment horizontal="left"/>
    </xf>
    <xf numFmtId="172" fontId="35" fillId="63" borderId="0" xfId="0" applyNumberFormat="1" applyFont="1" applyFill="1" applyAlignment="1">
      <alignment horizontal="left"/>
    </xf>
    <xf numFmtId="172" fontId="28" fillId="57" borderId="0" xfId="0" applyNumberFormat="1" applyFont="1" applyFill="1" applyAlignment="1">
      <alignment horizontal="left"/>
    </xf>
    <xf numFmtId="0" fontId="0" fillId="57" borderId="0" xfId="0" applyFill="1" applyAlignment="1">
      <alignment horizontal="left"/>
    </xf>
    <xf numFmtId="172" fontId="8" fillId="67" borderId="0" xfId="0" applyNumberFormat="1" applyFont="1" applyFill="1" applyAlignment="1">
      <alignment horizontal="left"/>
    </xf>
    <xf numFmtId="172" fontId="0" fillId="69" borderId="0" xfId="0" applyNumberFormat="1" applyFill="1" applyAlignment="1">
      <alignment horizontal="left"/>
    </xf>
    <xf numFmtId="172" fontId="0" fillId="70" borderId="10" xfId="0" applyNumberFormat="1" applyFill="1" applyBorder="1"/>
    <xf numFmtId="172" fontId="0" fillId="0" borderId="0" xfId="0" applyNumberFormat="1" applyAlignment="1">
      <alignment horizontal="left"/>
    </xf>
    <xf numFmtId="4" fontId="41" fillId="0" borderId="0" xfId="0" applyNumberFormat="1" applyFont="1"/>
    <xf numFmtId="0" fontId="0" fillId="71" borderId="0" xfId="0" applyFill="1"/>
    <xf numFmtId="4" fontId="0" fillId="71" borderId="0" xfId="0" applyNumberFormat="1" applyFill="1"/>
    <xf numFmtId="167" fontId="38" fillId="71" borderId="0" xfId="1" applyFill="1"/>
    <xf numFmtId="178" fontId="38" fillId="72" borderId="12" xfId="1" applyNumberFormat="1" applyFill="1" applyBorder="1" applyAlignment="1">
      <alignment horizontal="center" vertical="center"/>
    </xf>
    <xf numFmtId="14" fontId="0" fillId="73" borderId="34" xfId="0" applyNumberFormat="1" applyFill="1" applyBorder="1"/>
    <xf numFmtId="173" fontId="0" fillId="73" borderId="34" xfId="0" applyNumberFormat="1" applyFill="1" applyBorder="1"/>
    <xf numFmtId="0" fontId="0" fillId="73" borderId="34" xfId="0" applyFill="1" applyBorder="1"/>
    <xf numFmtId="16" fontId="24" fillId="47" borderId="0" xfId="0" applyNumberFormat="1" applyFont="1" applyFill="1" applyAlignment="1">
      <alignment horizontal="center"/>
    </xf>
    <xf numFmtId="172" fontId="37" fillId="0" borderId="12" xfId="0" applyNumberFormat="1" applyFont="1" applyBorder="1"/>
    <xf numFmtId="172" fontId="0" fillId="47" borderId="13" xfId="0" applyNumberFormat="1" applyFill="1" applyBorder="1"/>
    <xf numFmtId="172" fontId="29" fillId="47" borderId="13" xfId="0" applyNumberFormat="1" applyFont="1" applyFill="1" applyBorder="1"/>
    <xf numFmtId="0" fontId="0" fillId="47" borderId="10" xfId="0" applyFill="1" applyBorder="1" applyAlignment="1">
      <alignment horizontal="center"/>
    </xf>
    <xf numFmtId="172" fontId="0" fillId="74" borderId="12" xfId="0" applyNumberFormat="1" applyFill="1" applyBorder="1"/>
    <xf numFmtId="0" fontId="0" fillId="0" borderId="0" xfId="0" applyAlignment="1">
      <alignment horizontal="right"/>
    </xf>
    <xf numFmtId="167" fontId="38" fillId="0" borderId="0" xfId="1"/>
    <xf numFmtId="14" fontId="0" fillId="32" borderId="23" xfId="0" applyNumberFormat="1" applyFill="1" applyBorder="1"/>
    <xf numFmtId="173" fontId="0" fillId="32" borderId="23" xfId="0" applyNumberFormat="1" applyFill="1" applyBorder="1"/>
    <xf numFmtId="0" fontId="0" fillId="32" borderId="23" xfId="0" applyFill="1" applyBorder="1"/>
    <xf numFmtId="0" fontId="18" fillId="25" borderId="0" xfId="0" applyFont="1" applyFill="1"/>
    <xf numFmtId="172" fontId="0" fillId="47" borderId="30" xfId="0" applyNumberFormat="1" applyFill="1" applyBorder="1"/>
    <xf numFmtId="0" fontId="0" fillId="47" borderId="10" xfId="0" applyFill="1" applyBorder="1"/>
    <xf numFmtId="0" fontId="0" fillId="74" borderId="12" xfId="0" applyFill="1" applyBorder="1"/>
    <xf numFmtId="172" fontId="0" fillId="75" borderId="0" xfId="0" applyNumberFormat="1" applyFill="1" applyAlignment="1">
      <alignment horizontal="left"/>
    </xf>
    <xf numFmtId="172" fontId="0" fillId="71" borderId="12" xfId="0" applyNumberFormat="1" applyFill="1" applyBorder="1"/>
    <xf numFmtId="172" fontId="61" fillId="71" borderId="0" xfId="0" applyNumberFormat="1" applyFont="1" applyFill="1" applyAlignment="1">
      <alignment horizontal="left"/>
    </xf>
    <xf numFmtId="0" fontId="65" fillId="24" borderId="10" xfId="0" applyFont="1" applyFill="1" applyBorder="1" applyAlignment="1">
      <alignment horizontal="center"/>
    </xf>
    <xf numFmtId="0" fontId="65" fillId="0" borderId="10" xfId="0" applyFont="1" applyBorder="1" applyAlignment="1">
      <alignment horizontal="center"/>
    </xf>
    <xf numFmtId="0" fontId="65" fillId="0" borderId="10" xfId="0" applyFont="1" applyBorder="1"/>
    <xf numFmtId="172" fontId="65" fillId="0" borderId="12" xfId="0" applyNumberFormat="1" applyFont="1" applyBorder="1"/>
    <xf numFmtId="0" fontId="65" fillId="24" borderId="10" xfId="0" applyFont="1" applyFill="1" applyBorder="1"/>
    <xf numFmtId="172" fontId="65" fillId="0" borderId="10" xfId="0" applyNumberFormat="1" applyFont="1" applyBorder="1"/>
    <xf numFmtId="172" fontId="65" fillId="0" borderId="13" xfId="0" applyNumberFormat="1" applyFont="1" applyBorder="1"/>
    <xf numFmtId="172" fontId="65" fillId="19" borderId="13" xfId="0" applyNumberFormat="1" applyFont="1" applyFill="1" applyBorder="1"/>
    <xf numFmtId="172" fontId="7" fillId="54" borderId="10" xfId="130" applyNumberFormat="1" applyFill="1" applyBorder="1"/>
    <xf numFmtId="172" fontId="7" fillId="0" borderId="10" xfId="130" applyNumberFormat="1" applyBorder="1"/>
    <xf numFmtId="0" fontId="7" fillId="0" borderId="10" xfId="130" applyBorder="1"/>
    <xf numFmtId="172" fontId="7" fillId="0" borderId="12" xfId="130" applyNumberFormat="1" applyBorder="1"/>
    <xf numFmtId="172" fontId="0" fillId="24" borderId="0" xfId="0" applyNumberFormat="1" applyFill="1"/>
    <xf numFmtId="172" fontId="0" fillId="0" borderId="34" xfId="0" applyNumberFormat="1" applyBorder="1"/>
    <xf numFmtId="0" fontId="65" fillId="0" borderId="13" xfId="0" applyFont="1" applyBorder="1"/>
    <xf numFmtId="172" fontId="0" fillId="0" borderId="32" xfId="0" applyNumberFormat="1" applyBorder="1"/>
    <xf numFmtId="172" fontId="66" fillId="0" borderId="10" xfId="130" applyNumberFormat="1" applyFont="1" applyBorder="1"/>
    <xf numFmtId="0" fontId="0" fillId="71" borderId="10" xfId="0" applyFill="1" applyBorder="1" applyAlignment="1">
      <alignment horizontal="center"/>
    </xf>
    <xf numFmtId="0" fontId="0" fillId="71" borderId="10" xfId="0" applyFill="1" applyBorder="1"/>
    <xf numFmtId="172" fontId="0" fillId="42" borderId="0" xfId="0" applyNumberFormat="1" applyFill="1" applyAlignment="1">
      <alignment horizontal="center" vertical="center" wrapText="1"/>
    </xf>
    <xf numFmtId="172" fontId="0" fillId="71" borderId="0" xfId="0" applyNumberFormat="1" applyFill="1" applyAlignment="1">
      <alignment horizontal="left"/>
    </xf>
    <xf numFmtId="172" fontId="67" fillId="76" borderId="12" xfId="0" applyNumberFormat="1" applyFont="1" applyFill="1" applyBorder="1"/>
    <xf numFmtId="0" fontId="41" fillId="0" borderId="0" xfId="0" applyFont="1" applyAlignment="1">
      <alignment horizontal="center"/>
    </xf>
    <xf numFmtId="173" fontId="0" fillId="71" borderId="12" xfId="0" applyNumberFormat="1" applyFill="1" applyBorder="1"/>
    <xf numFmtId="14" fontId="68" fillId="0" borderId="12" xfId="0" applyNumberFormat="1" applyFont="1" applyBorder="1"/>
    <xf numFmtId="0" fontId="69" fillId="0" borderId="10" xfId="0" applyFont="1" applyBorder="1" applyAlignment="1">
      <alignment horizontal="center"/>
    </xf>
    <xf numFmtId="0" fontId="65" fillId="0" borderId="13" xfId="0" applyFont="1" applyBorder="1" applyAlignment="1">
      <alignment vertical="center"/>
    </xf>
    <xf numFmtId="0" fontId="65" fillId="29" borderId="10" xfId="0" applyFont="1" applyFill="1" applyBorder="1" applyAlignment="1">
      <alignment horizontal="center"/>
    </xf>
    <xf numFmtId="0" fontId="65" fillId="29" borderId="10" xfId="0" applyFont="1" applyFill="1" applyBorder="1"/>
    <xf numFmtId="14" fontId="18" fillId="0" borderId="12" xfId="0" applyNumberFormat="1" applyFont="1" applyBorder="1"/>
    <xf numFmtId="173" fontId="18" fillId="0" borderId="12" xfId="0" applyNumberFormat="1" applyFont="1" applyBorder="1"/>
    <xf numFmtId="0" fontId="18" fillId="0" borderId="12" xfId="0" applyFont="1" applyBorder="1"/>
    <xf numFmtId="172" fontId="7" fillId="54" borderId="29" xfId="130" applyNumberFormat="1" applyFill="1" applyBorder="1"/>
    <xf numFmtId="172" fontId="0" fillId="42" borderId="38" xfId="0" applyNumberFormat="1" applyFill="1" applyBorder="1"/>
    <xf numFmtId="0" fontId="41" fillId="0" borderId="0" xfId="0" applyFont="1" applyAlignment="1">
      <alignment horizontal="left"/>
    </xf>
    <xf numFmtId="173" fontId="18" fillId="71" borderId="18" xfId="0" applyNumberFormat="1" applyFont="1" applyFill="1" applyBorder="1"/>
    <xf numFmtId="0" fontId="0" fillId="76" borderId="0" xfId="0" applyFill="1"/>
    <xf numFmtId="172" fontId="0" fillId="57" borderId="0" xfId="0" quotePrefix="1" applyNumberFormat="1" applyFill="1" applyAlignment="1">
      <alignment horizontal="left"/>
    </xf>
    <xf numFmtId="14" fontId="0" fillId="71" borderId="12" xfId="0" applyNumberFormat="1" applyFill="1" applyBorder="1"/>
    <xf numFmtId="172" fontId="0" fillId="71" borderId="30" xfId="0" applyNumberFormat="1" applyFill="1" applyBorder="1"/>
    <xf numFmtId="8" fontId="0" fillId="0" borderId="0" xfId="0" applyNumberFormat="1" applyAlignment="1">
      <alignment horizontal="center"/>
    </xf>
    <xf numFmtId="172" fontId="61" fillId="0" borderId="0" xfId="0" applyNumberFormat="1" applyFont="1" applyAlignment="1">
      <alignment horizontal="left"/>
    </xf>
    <xf numFmtId="172" fontId="0" fillId="77" borderId="12" xfId="0" applyNumberFormat="1" applyFill="1" applyBorder="1"/>
    <xf numFmtId="172" fontId="6" fillId="0" borderId="10" xfId="138" applyNumberFormat="1" applyBorder="1"/>
    <xf numFmtId="0" fontId="70" fillId="0" borderId="10" xfId="0" applyFont="1" applyBorder="1" applyAlignment="1">
      <alignment horizontal="center"/>
    </xf>
    <xf numFmtId="172" fontId="6" fillId="54" borderId="10" xfId="138" applyNumberFormat="1" applyFill="1" applyBorder="1"/>
    <xf numFmtId="0" fontId="70" fillId="0" borderId="10" xfId="0" applyFont="1" applyBorder="1"/>
    <xf numFmtId="0" fontId="6" fillId="54" borderId="10" xfId="138" applyFill="1" applyBorder="1"/>
    <xf numFmtId="0" fontId="18" fillId="71" borderId="0" xfId="0" applyFont="1" applyFill="1"/>
    <xf numFmtId="172" fontId="65" fillId="24" borderId="10" xfId="0" applyNumberFormat="1" applyFont="1" applyFill="1" applyBorder="1"/>
    <xf numFmtId="0" fontId="71" fillId="0" borderId="10" xfId="0" applyFont="1" applyBorder="1"/>
    <xf numFmtId="172" fontId="29" fillId="0" borderId="32" xfId="0" applyNumberFormat="1" applyFont="1" applyBorder="1"/>
    <xf numFmtId="172" fontId="67" fillId="0" borderId="12" xfId="0" applyNumberFormat="1" applyFont="1" applyBorder="1"/>
    <xf numFmtId="0" fontId="69" fillId="0" borderId="29" xfId="0" applyFont="1" applyBorder="1" applyAlignment="1">
      <alignment horizontal="center"/>
    </xf>
    <xf numFmtId="0" fontId="69" fillId="0" borderId="29" xfId="0" applyFont="1" applyBorder="1"/>
    <xf numFmtId="172" fontId="69" fillId="0" borderId="29" xfId="0" applyNumberFormat="1" applyFont="1" applyBorder="1"/>
    <xf numFmtId="172" fontId="69" fillId="45" borderId="29" xfId="0" applyNumberFormat="1" applyFont="1" applyFill="1" applyBorder="1"/>
    <xf numFmtId="172" fontId="69" fillId="54" borderId="29" xfId="0" applyNumberFormat="1" applyFont="1" applyFill="1" applyBorder="1"/>
    <xf numFmtId="172" fontId="69" fillId="0" borderId="35" xfId="0" applyNumberFormat="1" applyFont="1" applyBorder="1"/>
    <xf numFmtId="172" fontId="69" fillId="42" borderId="54" xfId="0" applyNumberFormat="1" applyFont="1" applyFill="1" applyBorder="1"/>
    <xf numFmtId="172" fontId="69" fillId="47" borderId="32" xfId="0" applyNumberFormat="1" applyFont="1" applyFill="1" applyBorder="1"/>
    <xf numFmtId="172" fontId="69" fillId="0" borderId="32" xfId="0" applyNumberFormat="1" applyFont="1" applyBorder="1"/>
    <xf numFmtId="172" fontId="66" fillId="54" borderId="32" xfId="130" applyNumberFormat="1" applyFont="1" applyFill="1" applyBorder="1"/>
    <xf numFmtId="172" fontId="72" fillId="0" borderId="32" xfId="0" applyNumberFormat="1" applyFont="1" applyBorder="1"/>
    <xf numFmtId="0" fontId="0" fillId="28" borderId="15" xfId="0" applyFill="1" applyBorder="1" applyAlignment="1">
      <alignment horizontal="center"/>
    </xf>
    <xf numFmtId="0" fontId="0" fillId="28" borderId="15" xfId="0" applyFill="1" applyBorder="1"/>
    <xf numFmtId="172" fontId="0" fillId="28" borderId="15" xfId="0" applyNumberFormat="1" applyFill="1" applyBorder="1"/>
    <xf numFmtId="172" fontId="0" fillId="50" borderId="15" xfId="0" applyNumberFormat="1" applyFill="1" applyBorder="1"/>
    <xf numFmtId="172" fontId="0" fillId="28" borderId="33" xfId="0" applyNumberFormat="1" applyFill="1" applyBorder="1"/>
    <xf numFmtId="172" fontId="0" fillId="28" borderId="23" xfId="0" applyNumberFormat="1" applyFill="1" applyBorder="1"/>
    <xf numFmtId="0" fontId="73" fillId="0" borderId="55" xfId="0" applyFont="1" applyBorder="1" applyAlignment="1">
      <alignment horizontal="center"/>
    </xf>
    <xf numFmtId="0" fontId="73" fillId="0" borderId="56" xfId="0" applyFont="1" applyBorder="1"/>
    <xf numFmtId="172" fontId="73" fillId="0" borderId="56" xfId="0" applyNumberFormat="1" applyFont="1" applyBorder="1"/>
    <xf numFmtId="172" fontId="73" fillId="0" borderId="57" xfId="0" applyNumberFormat="1" applyFont="1" applyBorder="1"/>
    <xf numFmtId="172" fontId="61" fillId="0" borderId="58" xfId="0" applyNumberFormat="1" applyFont="1" applyBorder="1"/>
    <xf numFmtId="172" fontId="73" fillId="0" borderId="59" xfId="0" applyNumberFormat="1" applyFont="1" applyBorder="1"/>
    <xf numFmtId="172" fontId="44" fillId="0" borderId="59" xfId="130" applyNumberFormat="1" applyFont="1" applyBorder="1"/>
    <xf numFmtId="0" fontId="73" fillId="0" borderId="61" xfId="0" applyFont="1" applyBorder="1" applyAlignment="1">
      <alignment horizontal="center"/>
    </xf>
    <xf numFmtId="0" fontId="73" fillId="0" borderId="10" xfId="0" applyFont="1" applyBorder="1"/>
    <xf numFmtId="172" fontId="73" fillId="0" borderId="10" xfId="0" applyNumberFormat="1" applyFont="1" applyBorder="1"/>
    <xf numFmtId="172" fontId="73" fillId="0" borderId="13" xfId="0" applyNumberFormat="1" applyFont="1" applyBorder="1"/>
    <xf numFmtId="172" fontId="73" fillId="0" borderId="18" xfId="0" applyNumberFormat="1" applyFont="1" applyBorder="1"/>
    <xf numFmtId="172" fontId="73" fillId="0" borderId="53" xfId="0" applyNumberFormat="1" applyFont="1" applyBorder="1"/>
    <xf numFmtId="172" fontId="44" fillId="0" borderId="53" xfId="130" applyNumberFormat="1" applyFont="1" applyBorder="1"/>
    <xf numFmtId="172" fontId="73" fillId="0" borderId="12" xfId="0" applyNumberFormat="1" applyFont="1" applyBorder="1"/>
    <xf numFmtId="172" fontId="73" fillId="0" borderId="33" xfId="0" applyNumberFormat="1" applyFont="1" applyBorder="1"/>
    <xf numFmtId="172" fontId="44" fillId="0" borderId="15" xfId="130" applyNumberFormat="1" applyFont="1" applyBorder="1"/>
    <xf numFmtId="0" fontId="73" fillId="0" borderId="63" xfId="0" applyFont="1" applyBorder="1" applyAlignment="1">
      <alignment horizontal="center"/>
    </xf>
    <xf numFmtId="0" fontId="73" fillId="0" borderId="64" xfId="0" applyFont="1" applyBorder="1"/>
    <xf numFmtId="172" fontId="73" fillId="0" borderId="64" xfId="0" applyNumberFormat="1" applyFont="1" applyBorder="1"/>
    <xf numFmtId="172" fontId="73" fillId="0" borderId="65" xfId="0" applyNumberFormat="1" applyFont="1" applyBorder="1"/>
    <xf numFmtId="172" fontId="73" fillId="0" borderId="66" xfId="0" applyNumberFormat="1" applyFont="1" applyBorder="1"/>
    <xf numFmtId="172" fontId="44" fillId="0" borderId="64" xfId="130" applyNumberFormat="1" applyFont="1" applyBorder="1"/>
    <xf numFmtId="0" fontId="0" fillId="0" borderId="29" xfId="0" applyBorder="1" applyAlignment="1">
      <alignment horizontal="center"/>
    </xf>
    <xf numFmtId="0" fontId="7" fillId="0" borderId="29" xfId="130" applyBorder="1"/>
    <xf numFmtId="172" fontId="0" fillId="0" borderId="29" xfId="0" applyNumberFormat="1" applyBorder="1"/>
    <xf numFmtId="172" fontId="0" fillId="45" borderId="29" xfId="0" applyNumberFormat="1" applyFill="1" applyBorder="1"/>
    <xf numFmtId="172" fontId="0" fillId="54" borderId="29" xfId="0" applyNumberFormat="1" applyFill="1" applyBorder="1"/>
    <xf numFmtId="172" fontId="0" fillId="24" borderId="29" xfId="0" applyNumberFormat="1" applyFill="1" applyBorder="1"/>
    <xf numFmtId="172" fontId="0" fillId="0" borderId="35" xfId="0" applyNumberFormat="1" applyBorder="1"/>
    <xf numFmtId="172" fontId="11" fillId="42" borderId="32" xfId="0" applyNumberFormat="1" applyFont="1" applyFill="1" applyBorder="1"/>
    <xf numFmtId="172" fontId="67" fillId="0" borderId="32" xfId="0" applyNumberFormat="1" applyFont="1" applyBorder="1"/>
    <xf numFmtId="0" fontId="44" fillId="0" borderId="56" xfId="130" applyFont="1" applyBorder="1"/>
    <xf numFmtId="172" fontId="61" fillId="0" borderId="68" xfId="0" applyNumberFormat="1" applyFont="1" applyBorder="1"/>
    <xf numFmtId="172" fontId="73" fillId="0" borderId="68" xfId="0" applyNumberFormat="1" applyFont="1" applyBorder="1"/>
    <xf numFmtId="0" fontId="44" fillId="0" borderId="10" xfId="130" applyFont="1" applyBorder="1"/>
    <xf numFmtId="172" fontId="44" fillId="0" borderId="12" xfId="130" applyNumberFormat="1" applyFont="1" applyBorder="1"/>
    <xf numFmtId="172" fontId="73" fillId="0" borderId="0" xfId="0" applyNumberFormat="1" applyFont="1"/>
    <xf numFmtId="0" fontId="44" fillId="0" borderId="64" xfId="130" applyFont="1" applyBorder="1"/>
    <xf numFmtId="172" fontId="61" fillId="0" borderId="69" xfId="0" applyNumberFormat="1" applyFont="1" applyBorder="1"/>
    <xf numFmtId="172" fontId="44" fillId="0" borderId="66" xfId="130" applyNumberFormat="1" applyFont="1" applyBorder="1"/>
    <xf numFmtId="0" fontId="0" fillId="0" borderId="29" xfId="0" applyBorder="1"/>
    <xf numFmtId="172" fontId="0" fillId="36" borderId="29" xfId="0" applyNumberFormat="1" applyFill="1" applyBorder="1"/>
    <xf numFmtId="0" fontId="0" fillId="30" borderId="15" xfId="0" applyFill="1" applyBorder="1" applyAlignment="1">
      <alignment horizontal="center"/>
    </xf>
    <xf numFmtId="0" fontId="0" fillId="30" borderId="15" xfId="0" applyFill="1" applyBorder="1"/>
    <xf numFmtId="172" fontId="0" fillId="30" borderId="34" xfId="0" applyNumberFormat="1" applyFill="1" applyBorder="1"/>
    <xf numFmtId="172" fontId="0" fillId="52" borderId="15" xfId="0" applyNumberFormat="1" applyFill="1" applyBorder="1"/>
    <xf numFmtId="0" fontId="73" fillId="0" borderId="70" xfId="0" applyFont="1" applyBorder="1" applyAlignment="1">
      <alignment horizontal="center"/>
    </xf>
    <xf numFmtId="0" fontId="44" fillId="0" borderId="71" xfId="130" applyFont="1" applyBorder="1"/>
    <xf numFmtId="172" fontId="73" fillId="0" borderId="72" xfId="0" applyNumberFormat="1" applyFont="1" applyBorder="1"/>
    <xf numFmtId="172" fontId="73" fillId="0" borderId="71" xfId="0" applyNumberFormat="1" applyFont="1" applyBorder="1"/>
    <xf numFmtId="172" fontId="73" fillId="0" borderId="46" xfId="0" applyNumberFormat="1" applyFont="1" applyBorder="1"/>
    <xf numFmtId="172" fontId="44" fillId="0" borderId="72" xfId="130" applyNumberFormat="1" applyFont="1" applyBorder="1"/>
    <xf numFmtId="172" fontId="73" fillId="0" borderId="73" xfId="0" applyNumberFormat="1" applyFont="1" applyBorder="1"/>
    <xf numFmtId="172" fontId="61" fillId="71" borderId="60" xfId="0" applyNumberFormat="1" applyFont="1" applyFill="1" applyBorder="1"/>
    <xf numFmtId="172" fontId="73" fillId="71" borderId="62" xfId="0" applyNumberFormat="1" applyFont="1" applyFill="1" applyBorder="1"/>
    <xf numFmtId="172" fontId="73" fillId="71" borderId="67" xfId="0" applyNumberFormat="1" applyFont="1" applyFill="1" applyBorder="1"/>
    <xf numFmtId="0" fontId="65" fillId="0" borderId="13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172" fontId="29" fillId="0" borderId="15" xfId="0" applyNumberFormat="1" applyFont="1" applyBorder="1"/>
    <xf numFmtId="172" fontId="44" fillId="55" borderId="15" xfId="0" applyNumberFormat="1" applyFont="1" applyFill="1" applyBorder="1"/>
    <xf numFmtId="172" fontId="29" fillId="0" borderId="33" xfId="0" applyNumberFormat="1" applyFont="1" applyBorder="1"/>
    <xf numFmtId="172" fontId="29" fillId="0" borderId="23" xfId="0" applyNumberFormat="1" applyFont="1" applyBorder="1"/>
    <xf numFmtId="172" fontId="44" fillId="55" borderId="64" xfId="0" applyNumberFormat="1" applyFont="1" applyFill="1" applyBorder="1"/>
    <xf numFmtId="172" fontId="71" fillId="0" borderId="56" xfId="0" applyNumberFormat="1" applyFont="1" applyBorder="1"/>
    <xf numFmtId="172" fontId="71" fillId="0" borderId="57" xfId="0" applyNumberFormat="1" applyFont="1" applyBorder="1"/>
    <xf numFmtId="172" fontId="71" fillId="0" borderId="68" xfId="0" applyNumberFormat="1" applyFont="1" applyBorder="1"/>
    <xf numFmtId="172" fontId="71" fillId="0" borderId="10" xfId="0" applyNumberFormat="1" applyFont="1" applyBorder="1"/>
    <xf numFmtId="172" fontId="71" fillId="0" borderId="13" xfId="0" applyNumberFormat="1" applyFont="1" applyBorder="1"/>
    <xf numFmtId="172" fontId="71" fillId="0" borderId="12" xfId="0" applyNumberFormat="1" applyFont="1" applyBorder="1"/>
    <xf numFmtId="172" fontId="67" fillId="0" borderId="64" xfId="0" applyNumberFormat="1" applyFont="1" applyBorder="1"/>
    <xf numFmtId="172" fontId="67" fillId="0" borderId="65" xfId="0" applyNumberFormat="1" applyFont="1" applyBorder="1"/>
    <xf numFmtId="172" fontId="67" fillId="0" borderId="66" xfId="0" applyNumberFormat="1" applyFont="1" applyBorder="1"/>
    <xf numFmtId="172" fontId="44" fillId="0" borderId="56" xfId="130" applyNumberFormat="1" applyFont="1" applyBorder="1"/>
    <xf numFmtId="172" fontId="73" fillId="57" borderId="60" xfId="0" applyNumberFormat="1" applyFont="1" applyFill="1" applyBorder="1"/>
    <xf numFmtId="172" fontId="73" fillId="57" borderId="62" xfId="0" applyNumberFormat="1" applyFont="1" applyFill="1" applyBorder="1"/>
    <xf numFmtId="172" fontId="73" fillId="57" borderId="67" xfId="0" applyNumberFormat="1" applyFont="1" applyFill="1" applyBorder="1"/>
    <xf numFmtId="172" fontId="0" fillId="74" borderId="0" xfId="0" applyNumberFormat="1" applyFill="1"/>
    <xf numFmtId="0" fontId="0" fillId="78" borderId="10" xfId="0" applyFill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72" fontId="18" fillId="0" borderId="13" xfId="0" applyNumberFormat="1" applyFont="1" applyBorder="1"/>
    <xf numFmtId="172" fontId="18" fillId="0" borderId="12" xfId="0" applyNumberFormat="1" applyFont="1" applyBorder="1"/>
    <xf numFmtId="172" fontId="0" fillId="79" borderId="12" xfId="0" applyNumberFormat="1" applyFill="1" applyBorder="1"/>
    <xf numFmtId="172" fontId="0" fillId="71" borderId="23" xfId="0" applyNumberFormat="1" applyFill="1" applyBorder="1"/>
    <xf numFmtId="172" fontId="0" fillId="80" borderId="12" xfId="0" applyNumberFormat="1" applyFill="1" applyBorder="1"/>
    <xf numFmtId="172" fontId="7" fillId="47" borderId="10" xfId="130" applyNumberFormat="1" applyFill="1" applyBorder="1"/>
    <xf numFmtId="172" fontId="0" fillId="81" borderId="12" xfId="0" applyNumberFormat="1" applyFill="1" applyBorder="1"/>
    <xf numFmtId="172" fontId="29" fillId="47" borderId="12" xfId="0" applyNumberFormat="1" applyFont="1" applyFill="1" applyBorder="1"/>
    <xf numFmtId="172" fontId="0" fillId="75" borderId="12" xfId="0" applyNumberFormat="1" applyFill="1" applyBorder="1"/>
    <xf numFmtId="172" fontId="28" fillId="74" borderId="12" xfId="0" applyNumberFormat="1" applyFont="1" applyFill="1" applyBorder="1"/>
    <xf numFmtId="172" fontId="74" fillId="74" borderId="12" xfId="0" applyNumberFormat="1" applyFont="1" applyFill="1" applyBorder="1"/>
    <xf numFmtId="172" fontId="0" fillId="70" borderId="12" xfId="0" applyNumberFormat="1" applyFill="1" applyBorder="1"/>
    <xf numFmtId="172" fontId="6" fillId="70" borderId="10" xfId="138" applyNumberFormat="1" applyFill="1" applyBorder="1"/>
    <xf numFmtId="172" fontId="0" fillId="82" borderId="12" xfId="0" applyNumberFormat="1" applyFill="1" applyBorder="1"/>
    <xf numFmtId="172" fontId="0" fillId="83" borderId="10" xfId="0" applyNumberFormat="1" applyFill="1" applyBorder="1"/>
    <xf numFmtId="172" fontId="0" fillId="84" borderId="12" xfId="0" applyNumberFormat="1" applyFill="1" applyBorder="1"/>
    <xf numFmtId="172" fontId="43" fillId="85" borderId="23" xfId="0" applyNumberFormat="1" applyFont="1" applyFill="1" applyBorder="1"/>
    <xf numFmtId="172" fontId="75" fillId="0" borderId="59" xfId="0" applyNumberFormat="1" applyFont="1" applyBorder="1"/>
    <xf numFmtId="172" fontId="75" fillId="0" borderId="60" xfId="0" applyNumberFormat="1" applyFont="1" applyBorder="1"/>
    <xf numFmtId="172" fontId="75" fillId="0" borderId="52" xfId="0" applyNumberFormat="1" applyFont="1" applyBorder="1"/>
    <xf numFmtId="172" fontId="75" fillId="0" borderId="62" xfId="0" applyNumberFormat="1" applyFont="1" applyBorder="1"/>
    <xf numFmtId="172" fontId="75" fillId="0" borderId="49" xfId="0" applyNumberFormat="1" applyFont="1" applyBorder="1"/>
    <xf numFmtId="172" fontId="75" fillId="0" borderId="67" xfId="0" applyNumberFormat="1" applyFont="1" applyBorder="1"/>
    <xf numFmtId="4" fontId="0" fillId="57" borderId="0" xfId="0" applyNumberFormat="1" applyFill="1" applyAlignment="1">
      <alignment horizontal="left"/>
    </xf>
    <xf numFmtId="4" fontId="65" fillId="0" borderId="0" xfId="0" applyNumberFormat="1" applyFont="1"/>
    <xf numFmtId="172" fontId="61" fillId="71" borderId="0" xfId="0" applyNumberFormat="1" applyFont="1" applyFill="1" applyAlignment="1">
      <alignment horizontal="left" wrapText="1"/>
    </xf>
    <xf numFmtId="0" fontId="76" fillId="0" borderId="12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172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87" borderId="12" xfId="0" applyNumberFormat="1" applyFill="1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87" xfId="0" applyBorder="1" applyAlignment="1">
      <alignment horizontal="right"/>
    </xf>
    <xf numFmtId="0" fontId="71" fillId="0" borderId="0" xfId="0" applyFont="1" applyAlignment="1">
      <alignment horizontal="center" vertical="center"/>
    </xf>
    <xf numFmtId="9" fontId="71" fillId="0" borderId="0" xfId="0" applyNumberFormat="1" applyFont="1" applyAlignment="1">
      <alignment horizontal="center" vertical="center"/>
    </xf>
    <xf numFmtId="183" fontId="71" fillId="0" borderId="12" xfId="0" applyNumberFormat="1" applyFont="1" applyBorder="1" applyAlignment="1">
      <alignment horizontal="center" vertical="center"/>
    </xf>
    <xf numFmtId="8" fontId="0" fillId="0" borderId="0" xfId="0" applyNumberFormat="1"/>
    <xf numFmtId="0" fontId="41" fillId="87" borderId="12" xfId="0" applyFont="1" applyFill="1" applyBorder="1" applyAlignment="1">
      <alignment horizontal="right"/>
    </xf>
    <xf numFmtId="0" fontId="41" fillId="87" borderId="11" xfId="0" applyFont="1" applyFill="1" applyBorder="1" applyAlignment="1">
      <alignment horizontal="right"/>
    </xf>
    <xf numFmtId="0" fontId="0" fillId="87" borderId="18" xfId="0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38" fillId="0" borderId="12" xfId="3" applyNumberFormat="1" applyBorder="1" applyAlignment="1">
      <alignment horizontal="center"/>
    </xf>
    <xf numFmtId="10" fontId="38" fillId="87" borderId="12" xfId="3" applyNumberFormat="1" applyFill="1" applyBorder="1" applyAlignment="1">
      <alignment horizontal="center"/>
    </xf>
    <xf numFmtId="10" fontId="71" fillId="0" borderId="0" xfId="0" applyNumberFormat="1" applyFont="1" applyAlignment="1">
      <alignment horizontal="center" vertical="center"/>
    </xf>
    <xf numFmtId="172" fontId="35" fillId="0" borderId="0" xfId="0" applyNumberFormat="1" applyFont="1" applyAlignment="1">
      <alignment horizontal="left"/>
    </xf>
    <xf numFmtId="0" fontId="77" fillId="0" borderId="0" xfId="0" applyFont="1" applyAlignment="1">
      <alignment vertical="center"/>
    </xf>
    <xf numFmtId="0" fontId="41" fillId="0" borderId="0" xfId="0" applyFont="1"/>
    <xf numFmtId="14" fontId="29" fillId="0" borderId="12" xfId="0" applyNumberFormat="1" applyFont="1" applyBorder="1"/>
    <xf numFmtId="173" fontId="29" fillId="0" borderId="12" xfId="0" applyNumberFormat="1" applyFont="1" applyBorder="1"/>
    <xf numFmtId="0" fontId="29" fillId="0" borderId="12" xfId="0" applyFont="1" applyBorder="1"/>
    <xf numFmtId="0" fontId="61" fillId="0" borderId="0" xfId="0" applyFont="1"/>
    <xf numFmtId="167" fontId="61" fillId="71" borderId="0" xfId="1" applyFont="1" applyFill="1"/>
    <xf numFmtId="0" fontId="61" fillId="71" borderId="0" xfId="0" applyFont="1" applyFill="1"/>
    <xf numFmtId="4" fontId="95" fillId="0" borderId="0" xfId="0" applyNumberFormat="1" applyFont="1"/>
    <xf numFmtId="0" fontId="34" fillId="71" borderId="0" xfId="0" applyFont="1" applyFill="1"/>
    <xf numFmtId="4" fontId="96" fillId="71" borderId="0" xfId="0" applyNumberFormat="1" applyFont="1" applyFill="1"/>
    <xf numFmtId="0" fontId="0" fillId="0" borderId="0" xfId="0" applyAlignment="1">
      <alignment horizontal="left" vertical="center" indent="1"/>
    </xf>
    <xf numFmtId="0" fontId="77" fillId="0" borderId="0" xfId="0" applyFont="1" applyAlignment="1">
      <alignment horizontal="left" vertical="center" indent="1"/>
    </xf>
    <xf numFmtId="0" fontId="0" fillId="0" borderId="0" xfId="0" quotePrefix="1"/>
    <xf numFmtId="167" fontId="38" fillId="119" borderId="0" xfId="1" applyFill="1"/>
    <xf numFmtId="0" fontId="41" fillId="119" borderId="0" xfId="0" applyFont="1" applyFill="1"/>
    <xf numFmtId="0" fontId="97" fillId="0" borderId="10" xfId="0" applyFont="1" applyBorder="1" applyAlignment="1">
      <alignment horizontal="center"/>
    </xf>
    <xf numFmtId="0" fontId="97" fillId="0" borderId="11" xfId="0" applyFont="1" applyBorder="1"/>
    <xf numFmtId="0" fontId="98" fillId="0" borderId="12" xfId="0" applyFont="1" applyBorder="1" applyAlignment="1">
      <alignment horizontal="center" vertical="center" wrapText="1"/>
    </xf>
    <xf numFmtId="0" fontId="99" fillId="24" borderId="10" xfId="0" applyFont="1" applyFill="1" applyBorder="1" applyAlignment="1">
      <alignment horizontal="center"/>
    </xf>
    <xf numFmtId="0" fontId="97" fillId="24" borderId="14" xfId="0" applyFont="1" applyFill="1" applyBorder="1" applyAlignment="1">
      <alignment horizontal="left"/>
    </xf>
    <xf numFmtId="0" fontId="99" fillId="24" borderId="28" xfId="0" applyFont="1" applyFill="1" applyBorder="1" applyAlignment="1">
      <alignment horizontal="right"/>
    </xf>
    <xf numFmtId="0" fontId="99" fillId="24" borderId="16" xfId="0" applyFont="1" applyFill="1" applyBorder="1"/>
    <xf numFmtId="172" fontId="100" fillId="24" borderId="12" xfId="0" applyNumberFormat="1" applyFont="1" applyFill="1" applyBorder="1"/>
    <xf numFmtId="172" fontId="100" fillId="24" borderId="0" xfId="0" applyNumberFormat="1" applyFont="1" applyFill="1"/>
    <xf numFmtId="0" fontId="97" fillId="27" borderId="10" xfId="0" applyFont="1" applyFill="1" applyBorder="1" applyAlignment="1">
      <alignment horizontal="center"/>
    </xf>
    <xf numFmtId="0" fontId="97" fillId="27" borderId="10" xfId="0" applyFont="1" applyFill="1" applyBorder="1"/>
    <xf numFmtId="0" fontId="97" fillId="28" borderId="10" xfId="0" applyFont="1" applyFill="1" applyBorder="1" applyAlignment="1">
      <alignment horizontal="center"/>
    </xf>
    <xf numFmtId="0" fontId="97" fillId="28" borderId="10" xfId="0" applyFont="1" applyFill="1" applyBorder="1"/>
    <xf numFmtId="0" fontId="97" fillId="29" borderId="10" xfId="0" applyFont="1" applyFill="1" applyBorder="1" applyAlignment="1">
      <alignment horizontal="center"/>
    </xf>
    <xf numFmtId="0" fontId="97" fillId="29" borderId="10" xfId="0" applyFont="1" applyFill="1" applyBorder="1"/>
    <xf numFmtId="0" fontId="97" fillId="30" borderId="10" xfId="0" applyFont="1" applyFill="1" applyBorder="1" applyAlignment="1">
      <alignment horizontal="center"/>
    </xf>
    <xf numFmtId="0" fontId="97" fillId="30" borderId="10" xfId="0" applyFont="1" applyFill="1" applyBorder="1"/>
    <xf numFmtId="0" fontId="97" fillId="0" borderId="10" xfId="0" applyFont="1" applyBorder="1"/>
    <xf numFmtId="0" fontId="97" fillId="31" borderId="10" xfId="0" applyFont="1" applyFill="1" applyBorder="1" applyAlignment="1">
      <alignment horizontal="center"/>
    </xf>
    <xf numFmtId="0" fontId="97" fillId="31" borderId="10" xfId="0" applyFont="1" applyFill="1" applyBorder="1"/>
    <xf numFmtId="0" fontId="97" fillId="24" borderId="10" xfId="0" applyFont="1" applyFill="1" applyBorder="1"/>
    <xf numFmtId="0" fontId="101" fillId="24" borderId="10" xfId="0" applyFont="1" applyFill="1" applyBorder="1"/>
    <xf numFmtId="0" fontId="102" fillId="54" borderId="10" xfId="138" applyFont="1" applyFill="1" applyBorder="1"/>
    <xf numFmtId="0" fontId="103" fillId="29" borderId="10" xfId="0" applyFont="1" applyFill="1" applyBorder="1" applyAlignment="1">
      <alignment horizontal="center"/>
    </xf>
    <xf numFmtId="0" fontId="103" fillId="29" borderId="10" xfId="0" applyFont="1" applyFill="1" applyBorder="1"/>
    <xf numFmtId="0" fontId="101" fillId="0" borderId="10" xfId="0" applyFont="1" applyBorder="1" applyAlignment="1">
      <alignment horizontal="center"/>
    </xf>
    <xf numFmtId="0" fontId="101" fillId="0" borderId="10" xfId="0" applyFont="1" applyBorder="1"/>
    <xf numFmtId="0" fontId="104" fillId="0" borderId="55" xfId="0" applyFont="1" applyBorder="1" applyAlignment="1">
      <alignment horizontal="center"/>
    </xf>
    <xf numFmtId="0" fontId="104" fillId="0" borderId="75" xfId="0" applyFont="1" applyBorder="1"/>
    <xf numFmtId="0" fontId="104" fillId="0" borderId="61" xfId="0" applyFont="1" applyBorder="1" applyAlignment="1">
      <alignment horizontal="center"/>
    </xf>
    <xf numFmtId="0" fontId="104" fillId="0" borderId="76" xfId="0" applyFont="1" applyBorder="1"/>
    <xf numFmtId="0" fontId="104" fillId="0" borderId="63" xfId="0" applyFont="1" applyBorder="1" applyAlignment="1">
      <alignment horizontal="center"/>
    </xf>
    <xf numFmtId="0" fontId="104" fillId="0" borderId="77" xfId="0" applyFont="1" applyBorder="1"/>
    <xf numFmtId="0" fontId="97" fillId="0" borderId="15" xfId="0" applyFont="1" applyBorder="1" applyAlignment="1">
      <alignment horizontal="center"/>
    </xf>
    <xf numFmtId="0" fontId="97" fillId="0" borderId="15" xfId="0" applyFont="1" applyBorder="1"/>
    <xf numFmtId="0" fontId="97" fillId="0" borderId="29" xfId="0" applyFont="1" applyBorder="1" applyAlignment="1">
      <alignment horizontal="center"/>
    </xf>
    <xf numFmtId="0" fontId="97" fillId="0" borderId="29" xfId="0" applyFont="1" applyBorder="1"/>
    <xf numFmtId="0" fontId="104" fillId="0" borderId="70" xfId="0" applyFont="1" applyBorder="1" applyAlignment="1">
      <alignment horizontal="center"/>
    </xf>
    <xf numFmtId="0" fontId="105" fillId="0" borderId="82" xfId="130" applyFont="1" applyBorder="1"/>
    <xf numFmtId="0" fontId="97" fillId="30" borderId="15" xfId="0" applyFont="1" applyFill="1" applyBorder="1" applyAlignment="1">
      <alignment horizontal="center"/>
    </xf>
    <xf numFmtId="0" fontId="97" fillId="30" borderId="15" xfId="0" applyFont="1" applyFill="1" applyBorder="1"/>
    <xf numFmtId="0" fontId="97" fillId="0" borderId="13" xfId="0" applyFont="1" applyBorder="1"/>
    <xf numFmtId="0" fontId="97" fillId="0" borderId="13" xfId="0" applyFont="1" applyBorder="1" applyAlignment="1">
      <alignment vertical="center"/>
    </xf>
    <xf numFmtId="0" fontId="102" fillId="0" borderId="29" xfId="130" applyFont="1" applyBorder="1"/>
    <xf numFmtId="0" fontId="105" fillId="0" borderId="75" xfId="130" applyFont="1" applyBorder="1"/>
    <xf numFmtId="0" fontId="105" fillId="0" borderId="76" xfId="130" applyFont="1" applyBorder="1"/>
    <xf numFmtId="0" fontId="105" fillId="0" borderId="77" xfId="130" applyFont="1" applyBorder="1"/>
    <xf numFmtId="0" fontId="97" fillId="24" borderId="13" xfId="0" applyFont="1" applyFill="1" applyBorder="1"/>
    <xf numFmtId="0" fontId="97" fillId="121" borderId="13" xfId="0" applyFont="1" applyFill="1" applyBorder="1"/>
    <xf numFmtId="0" fontId="97" fillId="28" borderId="15" xfId="0" applyFont="1" applyFill="1" applyBorder="1" applyAlignment="1">
      <alignment horizontal="center"/>
    </xf>
    <xf numFmtId="0" fontId="97" fillId="28" borderId="15" xfId="0" applyFont="1" applyFill="1" applyBorder="1"/>
    <xf numFmtId="0" fontId="102" fillId="0" borderId="10" xfId="130" applyFont="1" applyBorder="1"/>
    <xf numFmtId="0" fontId="97" fillId="28" borderId="13" xfId="0" applyFont="1" applyFill="1" applyBorder="1"/>
    <xf numFmtId="0" fontId="97" fillId="24" borderId="35" xfId="0" applyFont="1" applyFill="1" applyBorder="1"/>
    <xf numFmtId="0" fontId="97" fillId="28" borderId="13" xfId="0" applyFont="1" applyFill="1" applyBorder="1" applyAlignment="1">
      <alignment horizontal="center"/>
    </xf>
    <xf numFmtId="0" fontId="97" fillId="28" borderId="12" xfId="0" applyFont="1" applyFill="1" applyBorder="1"/>
    <xf numFmtId="0" fontId="97" fillId="0" borderId="13" xfId="0" applyFont="1" applyBorder="1" applyAlignment="1">
      <alignment horizontal="center"/>
    </xf>
    <xf numFmtId="0" fontId="97" fillId="0" borderId="12" xfId="0" applyFont="1" applyBorder="1"/>
    <xf numFmtId="0" fontId="97" fillId="24" borderId="12" xfId="0" applyFont="1" applyFill="1" applyBorder="1"/>
    <xf numFmtId="0" fontId="106" fillId="38" borderId="10" xfId="0" applyFont="1" applyFill="1" applyBorder="1" applyAlignment="1">
      <alignment horizontal="center"/>
    </xf>
    <xf numFmtId="0" fontId="106" fillId="38" borderId="15" xfId="0" applyFont="1" applyFill="1" applyBorder="1"/>
    <xf numFmtId="0" fontId="97" fillId="43" borderId="10" xfId="0" applyFont="1" applyFill="1" applyBorder="1" applyAlignment="1">
      <alignment horizontal="center"/>
    </xf>
    <xf numFmtId="0" fontId="97" fillId="43" borderId="10" xfId="0" applyFont="1" applyFill="1" applyBorder="1"/>
    <xf numFmtId="0" fontId="97" fillId="40" borderId="10" xfId="0" applyFont="1" applyFill="1" applyBorder="1" applyAlignment="1">
      <alignment horizontal="center"/>
    </xf>
    <xf numFmtId="0" fontId="97" fillId="40" borderId="10" xfId="0" applyFont="1" applyFill="1" applyBorder="1"/>
    <xf numFmtId="172" fontId="108" fillId="27" borderId="12" xfId="0" applyNumberFormat="1" applyFont="1" applyFill="1" applyBorder="1"/>
    <xf numFmtId="172" fontId="109" fillId="28" borderId="12" xfId="0" applyNumberFormat="1" applyFont="1" applyFill="1" applyBorder="1"/>
    <xf numFmtId="172" fontId="109" fillId="29" borderId="12" xfId="0" applyNumberFormat="1" applyFont="1" applyFill="1" applyBorder="1"/>
    <xf numFmtId="172" fontId="108" fillId="30" borderId="10" xfId="0" applyNumberFormat="1" applyFont="1" applyFill="1" applyBorder="1"/>
    <xf numFmtId="172" fontId="108" fillId="0" borderId="10" xfId="0" applyNumberFormat="1" applyFont="1" applyBorder="1"/>
    <xf numFmtId="172" fontId="108" fillId="31" borderId="29" xfId="0" applyNumberFormat="1" applyFont="1" applyFill="1" applyBorder="1"/>
    <xf numFmtId="172" fontId="108" fillId="0" borderId="12" xfId="0" applyNumberFormat="1" applyFont="1" applyBorder="1"/>
    <xf numFmtId="172" fontId="108" fillId="31" borderId="28" xfId="0" applyNumberFormat="1" applyFont="1" applyFill="1" applyBorder="1"/>
    <xf numFmtId="172" fontId="108" fillId="31" borderId="12" xfId="0" applyNumberFormat="1" applyFont="1" applyFill="1" applyBorder="1"/>
    <xf numFmtId="172" fontId="108" fillId="71" borderId="12" xfId="0" applyNumberFormat="1" applyFont="1" applyFill="1" applyBorder="1"/>
    <xf numFmtId="172" fontId="108" fillId="0" borderId="97" xfId="0" applyNumberFormat="1" applyFont="1" applyBorder="1"/>
    <xf numFmtId="172" fontId="108" fillId="30" borderId="12" xfId="0" applyNumberFormat="1" applyFont="1" applyFill="1" applyBorder="1"/>
    <xf numFmtId="172" fontId="108" fillId="24" borderId="10" xfId="0" applyNumberFormat="1" applyFont="1" applyFill="1" applyBorder="1"/>
    <xf numFmtId="172" fontId="108" fillId="0" borderId="30" xfId="0" applyNumberFormat="1" applyFont="1" applyBorder="1"/>
    <xf numFmtId="172" fontId="108" fillId="29" borderId="12" xfId="0" applyNumberFormat="1" applyFont="1" applyFill="1" applyBorder="1"/>
    <xf numFmtId="172" fontId="108" fillId="0" borderId="26" xfId="0" applyNumberFormat="1" applyFont="1" applyBorder="1"/>
    <xf numFmtId="172" fontId="108" fillId="24" borderId="31" xfId="0" applyNumberFormat="1" applyFont="1" applyFill="1" applyBorder="1"/>
    <xf numFmtId="172" fontId="108" fillId="71" borderId="97" xfId="0" applyNumberFormat="1" applyFont="1" applyFill="1" applyBorder="1"/>
    <xf numFmtId="172" fontId="108" fillId="29" borderId="10" xfId="0" applyNumberFormat="1" applyFont="1" applyFill="1" applyBorder="1"/>
    <xf numFmtId="172" fontId="108" fillId="120" borderId="12" xfId="0" applyNumberFormat="1" applyFont="1" applyFill="1" applyBorder="1"/>
    <xf numFmtId="172" fontId="108" fillId="28" borderId="12" xfId="0" applyNumberFormat="1" applyFont="1" applyFill="1" applyBorder="1"/>
    <xf numFmtId="172" fontId="110" fillId="0" borderId="12" xfId="0" applyNumberFormat="1" applyFont="1" applyBorder="1"/>
    <xf numFmtId="172" fontId="111" fillId="29" borderId="12" xfId="0" applyNumberFormat="1" applyFont="1" applyFill="1" applyBorder="1"/>
    <xf numFmtId="172" fontId="108" fillId="119" borderId="12" xfId="0" applyNumberFormat="1" applyFont="1" applyFill="1" applyBorder="1"/>
    <xf numFmtId="172" fontId="110" fillId="119" borderId="12" xfId="0" applyNumberFormat="1" applyFont="1" applyFill="1" applyBorder="1"/>
    <xf numFmtId="172" fontId="110" fillId="71" borderId="12" xfId="0" applyNumberFormat="1" applyFont="1" applyFill="1" applyBorder="1"/>
    <xf numFmtId="172" fontId="112" fillId="0" borderId="83" xfId="0" applyNumberFormat="1" applyFont="1" applyBorder="1"/>
    <xf numFmtId="172" fontId="112" fillId="0" borderId="0" xfId="0" applyNumberFormat="1" applyFont="1"/>
    <xf numFmtId="172" fontId="112" fillId="71" borderId="84" xfId="0" applyNumberFormat="1" applyFont="1" applyFill="1" applyBorder="1"/>
    <xf numFmtId="172" fontId="112" fillId="71" borderId="0" xfId="0" applyNumberFormat="1" applyFont="1" applyFill="1"/>
    <xf numFmtId="172" fontId="112" fillId="0" borderId="84" xfId="0" applyNumberFormat="1" applyFont="1" applyBorder="1"/>
    <xf numFmtId="172" fontId="112" fillId="0" borderId="85" xfId="0" applyNumberFormat="1" applyFont="1" applyBorder="1"/>
    <xf numFmtId="172" fontId="110" fillId="0" borderId="23" xfId="0" applyNumberFormat="1" applyFont="1" applyBorder="1"/>
    <xf numFmtId="172" fontId="108" fillId="0" borderId="23" xfId="0" applyNumberFormat="1" applyFont="1" applyBorder="1"/>
    <xf numFmtId="172" fontId="108" fillId="71" borderId="32" xfId="0" applyNumberFormat="1" applyFont="1" applyFill="1" applyBorder="1"/>
    <xf numFmtId="172" fontId="108" fillId="0" borderId="32" xfId="0" applyNumberFormat="1" applyFont="1" applyBorder="1"/>
    <xf numFmtId="172" fontId="112" fillId="0" borderId="81" xfId="0" applyNumberFormat="1" applyFont="1" applyBorder="1"/>
    <xf numFmtId="172" fontId="108" fillId="30" borderId="34" xfId="0" applyNumberFormat="1" applyFont="1" applyFill="1" applyBorder="1"/>
    <xf numFmtId="172" fontId="108" fillId="30" borderId="23" xfId="0" applyNumberFormat="1" applyFont="1" applyFill="1" applyBorder="1"/>
    <xf numFmtId="172" fontId="112" fillId="71" borderId="39" xfId="0" applyNumberFormat="1" applyFont="1" applyFill="1" applyBorder="1"/>
    <xf numFmtId="172" fontId="112" fillId="71" borderId="74" xfId="0" applyNumberFormat="1" applyFont="1" applyFill="1" applyBorder="1"/>
    <xf numFmtId="172" fontId="112" fillId="71" borderId="43" xfId="0" applyNumberFormat="1" applyFont="1" applyFill="1" applyBorder="1"/>
    <xf numFmtId="172" fontId="110" fillId="0" borderId="32" xfId="0" applyNumberFormat="1" applyFont="1" applyBorder="1"/>
    <xf numFmtId="172" fontId="110" fillId="120" borderId="32" xfId="0" applyNumberFormat="1" applyFont="1" applyFill="1" applyBorder="1"/>
    <xf numFmtId="172" fontId="110" fillId="71" borderId="97" xfId="0" applyNumberFormat="1" applyFont="1" applyFill="1" applyBorder="1"/>
    <xf numFmtId="172" fontId="112" fillId="0" borderId="78" xfId="0" applyNumberFormat="1" applyFont="1" applyBorder="1"/>
    <xf numFmtId="172" fontId="112" fillId="0" borderId="80" xfId="0" applyNumberFormat="1" applyFont="1" applyBorder="1"/>
    <xf numFmtId="172" fontId="112" fillId="0" borderId="79" xfId="0" applyNumberFormat="1" applyFont="1" applyBorder="1"/>
    <xf numFmtId="172" fontId="112" fillId="0" borderId="43" xfId="0" applyNumberFormat="1" applyFont="1" applyBorder="1"/>
    <xf numFmtId="172" fontId="108" fillId="28" borderId="23" xfId="0" applyNumberFormat="1" applyFont="1" applyFill="1" applyBorder="1"/>
    <xf numFmtId="172" fontId="108" fillId="29" borderId="29" xfId="0" applyNumberFormat="1" applyFont="1" applyFill="1" applyBorder="1"/>
    <xf numFmtId="172" fontId="108" fillId="0" borderId="34" xfId="0" applyNumberFormat="1" applyFont="1" applyBorder="1"/>
    <xf numFmtId="172" fontId="108" fillId="0" borderId="0" xfId="0" applyNumberFormat="1" applyFont="1"/>
    <xf numFmtId="172" fontId="113" fillId="0" borderId="12" xfId="0" applyNumberFormat="1" applyFont="1" applyBorder="1"/>
    <xf numFmtId="172" fontId="113" fillId="0" borderId="32" xfId="0" applyNumberFormat="1" applyFont="1" applyBorder="1"/>
    <xf numFmtId="172" fontId="114" fillId="86" borderId="23" xfId="0" applyNumberFormat="1" applyFont="1" applyFill="1" applyBorder="1"/>
    <xf numFmtId="172" fontId="108" fillId="43" borderId="12" xfId="0" applyNumberFormat="1" applyFont="1" applyFill="1" applyBorder="1"/>
    <xf numFmtId="172" fontId="108" fillId="39" borderId="12" xfId="0" applyNumberFormat="1" applyFont="1" applyFill="1" applyBorder="1"/>
    <xf numFmtId="172" fontId="108" fillId="40" borderId="12" xfId="0" applyNumberFormat="1" applyFont="1" applyFill="1" applyBorder="1"/>
    <xf numFmtId="172" fontId="110" fillId="0" borderId="97" xfId="0" applyNumberFormat="1" applyFont="1" applyBorder="1"/>
    <xf numFmtId="4" fontId="41" fillId="0" borderId="0" xfId="0" applyNumberFormat="1" applyFont="1" applyAlignment="1">
      <alignment horizontal="right"/>
    </xf>
    <xf numFmtId="172" fontId="7" fillId="54" borderId="0" xfId="130" applyNumberFormat="1" applyFill="1"/>
    <xf numFmtId="0" fontId="0" fillId="0" borderId="34" xfId="0" applyBorder="1"/>
    <xf numFmtId="0" fontId="41" fillId="0" borderId="0" xfId="0" applyFont="1" applyAlignment="1">
      <alignment horizontal="right"/>
    </xf>
    <xf numFmtId="172" fontId="115" fillId="0" borderId="97" xfId="0" applyNumberFormat="1" applyFont="1" applyBorder="1"/>
    <xf numFmtId="172" fontId="0" fillId="0" borderId="97" xfId="0" applyNumberFormat="1" applyBorder="1"/>
    <xf numFmtId="172" fontId="6" fillId="54" borderId="0" xfId="138" applyNumberFormat="1" applyFill="1"/>
    <xf numFmtId="172" fontId="115" fillId="28" borderId="97" xfId="0" applyNumberFormat="1" applyFont="1" applyFill="1" applyBorder="1"/>
    <xf numFmtId="172" fontId="7" fillId="54" borderId="97" xfId="130" applyNumberFormat="1" applyFill="1" applyBorder="1"/>
    <xf numFmtId="172" fontId="7" fillId="70" borderId="97" xfId="130" applyNumberFormat="1" applyFill="1" applyBorder="1"/>
    <xf numFmtId="172" fontId="7" fillId="0" borderId="97" xfId="130" applyNumberFormat="1" applyBorder="1"/>
    <xf numFmtId="172" fontId="46" fillId="57" borderId="10" xfId="130" applyNumberFormat="1" applyFont="1" applyFill="1" applyBorder="1"/>
    <xf numFmtId="172" fontId="11" fillId="0" borderId="97" xfId="0" applyNumberFormat="1" applyFont="1" applyBorder="1"/>
    <xf numFmtId="172" fontId="65" fillId="0" borderId="97" xfId="0" applyNumberFormat="1" applyFont="1" applyBorder="1"/>
    <xf numFmtId="172" fontId="46" fillId="54" borderId="0" xfId="130" applyNumberFormat="1" applyFont="1" applyFill="1"/>
    <xf numFmtId="172" fontId="7" fillId="0" borderId="0" xfId="130" applyNumberFormat="1"/>
    <xf numFmtId="172" fontId="115" fillId="30" borderId="97" xfId="0" applyNumberFormat="1" applyFont="1" applyFill="1" applyBorder="1"/>
    <xf numFmtId="172" fontId="0" fillId="122" borderId="97" xfId="0" applyNumberFormat="1" applyFill="1" applyBorder="1"/>
    <xf numFmtId="172" fontId="0" fillId="24" borderId="87" xfId="0" applyNumberFormat="1" applyFill="1" applyBorder="1"/>
    <xf numFmtId="172" fontId="0" fillId="0" borderId="25" xfId="0" applyNumberFormat="1" applyBorder="1"/>
    <xf numFmtId="172" fontId="6" fillId="0" borderId="0" xfId="138" applyNumberFormat="1"/>
    <xf numFmtId="0" fontId="98" fillId="0" borderId="97" xfId="0" applyFont="1" applyBorder="1" applyAlignment="1">
      <alignment horizontal="center" vertical="center" wrapText="1"/>
    </xf>
    <xf numFmtId="172" fontId="28" fillId="27" borderId="97" xfId="0" applyNumberFormat="1" applyFont="1" applyFill="1" applyBorder="1"/>
    <xf numFmtId="172" fontId="28" fillId="28" borderId="97" xfId="0" applyNumberFormat="1" applyFont="1" applyFill="1" applyBorder="1"/>
    <xf numFmtId="172" fontId="28" fillId="29" borderId="97" xfId="0" applyNumberFormat="1" applyFont="1" applyFill="1" applyBorder="1"/>
    <xf numFmtId="172" fontId="28" fillId="30" borderId="97" xfId="0" applyNumberFormat="1" applyFont="1" applyFill="1" applyBorder="1"/>
    <xf numFmtId="172" fontId="0" fillId="31" borderId="97" xfId="0" applyNumberFormat="1" applyFill="1" applyBorder="1"/>
    <xf numFmtId="172" fontId="28" fillId="0" borderId="97" xfId="0" applyNumberFormat="1" applyFont="1" applyBorder="1"/>
    <xf numFmtId="172" fontId="8" fillId="38" borderId="97" xfId="0" applyNumberFormat="1" applyFont="1" applyFill="1" applyBorder="1"/>
    <xf numFmtId="172" fontId="0" fillId="28" borderId="97" xfId="0" applyNumberFormat="1" applyFill="1" applyBorder="1"/>
    <xf numFmtId="172" fontId="0" fillId="39" borderId="97" xfId="0" applyNumberFormat="1" applyFill="1" applyBorder="1"/>
    <xf numFmtId="172" fontId="29" fillId="0" borderId="97" xfId="0" applyNumberFormat="1" applyFont="1" applyBorder="1"/>
    <xf numFmtId="172" fontId="0" fillId="30" borderId="97" xfId="0" applyNumberFormat="1" applyFill="1" applyBorder="1"/>
    <xf numFmtId="172" fontId="0" fillId="43" borderId="97" xfId="0" applyNumberFormat="1" applyFill="1" applyBorder="1"/>
    <xf numFmtId="172" fontId="0" fillId="29" borderId="97" xfId="0" applyNumberFormat="1" applyFill="1" applyBorder="1"/>
    <xf numFmtId="172" fontId="0" fillId="27" borderId="97" xfId="0" applyNumberFormat="1" applyFill="1" applyBorder="1"/>
    <xf numFmtId="172" fontId="30" fillId="29" borderId="97" xfId="0" applyNumberFormat="1" applyFont="1" applyFill="1" applyBorder="1"/>
    <xf numFmtId="172" fontId="0" fillId="30" borderId="32" xfId="0" applyNumberFormat="1" applyFill="1" applyBorder="1"/>
    <xf numFmtId="172" fontId="0" fillId="40" borderId="97" xfId="0" applyNumberFormat="1" applyFill="1" applyBorder="1"/>
    <xf numFmtId="172" fontId="0" fillId="57" borderId="97" xfId="0" applyNumberFormat="1" applyFill="1" applyBorder="1"/>
    <xf numFmtId="179" fontId="56" fillId="0" borderId="50" xfId="0" applyNumberFormat="1" applyFont="1" applyBorder="1"/>
    <xf numFmtId="0" fontId="49" fillId="59" borderId="38" xfId="0" applyFont="1" applyFill="1" applyBorder="1"/>
    <xf numFmtId="0" fontId="49" fillId="59" borderId="39" xfId="0" applyFont="1" applyFill="1" applyBorder="1"/>
    <xf numFmtId="0" fontId="49" fillId="0" borderId="0" xfId="0" applyFont="1"/>
    <xf numFmtId="0" fontId="50" fillId="0" borderId="40" xfId="0" applyFont="1" applyBorder="1"/>
    <xf numFmtId="0" fontId="50" fillId="0" borderId="41" xfId="0" applyFont="1" applyBorder="1"/>
    <xf numFmtId="0" fontId="51" fillId="59" borderId="42" xfId="0" applyFont="1" applyFill="1" applyBorder="1"/>
    <xf numFmtId="0" fontId="51" fillId="59" borderId="43" xfId="0" applyFont="1" applyFill="1" applyBorder="1"/>
    <xf numFmtId="0" fontId="51" fillId="0" borderId="0" xfId="0" applyFont="1"/>
    <xf numFmtId="0" fontId="52" fillId="0" borderId="44" xfId="0" applyFont="1" applyBorder="1" applyAlignment="1">
      <alignment horizontal="center"/>
    </xf>
    <xf numFmtId="0" fontId="53" fillId="0" borderId="46" xfId="0" applyFont="1" applyBorder="1" applyAlignment="1">
      <alignment horizontal="right" wrapText="1"/>
    </xf>
    <xf numFmtId="0" fontId="54" fillId="0" borderId="47" xfId="0" applyFont="1" applyBorder="1" applyAlignment="1">
      <alignment horizontal="right"/>
    </xf>
    <xf numFmtId="0" fontId="55" fillId="0" borderId="0" xfId="0" applyFont="1"/>
    <xf numFmtId="0" fontId="55" fillId="0" borderId="40" xfId="0" applyFont="1" applyBorder="1"/>
    <xf numFmtId="0" fontId="55" fillId="0" borderId="34" xfId="0" applyFont="1" applyBorder="1"/>
    <xf numFmtId="0" fontId="55" fillId="0" borderId="41" xfId="0" applyFont="1" applyBorder="1"/>
    <xf numFmtId="179" fontId="55" fillId="0" borderId="34" xfId="70" applyNumberFormat="1" applyFont="1" applyBorder="1"/>
    <xf numFmtId="179" fontId="55" fillId="0" borderId="34" xfId="0" applyNumberFormat="1" applyFont="1" applyBorder="1"/>
    <xf numFmtId="179" fontId="56" fillId="0" borderId="41" xfId="0" applyNumberFormat="1" applyFont="1" applyBorder="1"/>
    <xf numFmtId="4" fontId="55" fillId="0" borderId="34" xfId="70" applyNumberFormat="1" applyFont="1" applyBorder="1"/>
    <xf numFmtId="179" fontId="56" fillId="0" borderId="41" xfId="70" applyNumberFormat="1" applyFont="1" applyBorder="1"/>
    <xf numFmtId="168" fontId="55" fillId="0" borderId="34" xfId="70" applyFont="1" applyBorder="1"/>
    <xf numFmtId="179" fontId="55" fillId="60" borderId="34" xfId="0" applyNumberFormat="1" applyFont="1" applyFill="1" applyBorder="1"/>
    <xf numFmtId="179" fontId="55" fillId="61" borderId="34" xfId="70" applyNumberFormat="1" applyFont="1" applyFill="1" applyBorder="1"/>
    <xf numFmtId="4" fontId="55" fillId="60" borderId="34" xfId="70" applyNumberFormat="1" applyFont="1" applyFill="1" applyBorder="1"/>
    <xf numFmtId="4" fontId="51" fillId="0" borderId="0" xfId="0" applyNumberFormat="1" applyFont="1"/>
    <xf numFmtId="0" fontId="50" fillId="0" borderId="40" xfId="0" applyFont="1" applyBorder="1" applyAlignment="1">
      <alignment wrapText="1"/>
    </xf>
    <xf numFmtId="4" fontId="55" fillId="0" borderId="34" xfId="0" applyNumberFormat="1" applyFont="1" applyBorder="1"/>
    <xf numFmtId="167" fontId="55" fillId="0" borderId="34" xfId="1" applyFont="1" applyBorder="1"/>
    <xf numFmtId="0" fontId="52" fillId="0" borderId="40" xfId="0" applyFont="1" applyBorder="1" applyAlignment="1">
      <alignment horizontal="center"/>
    </xf>
    <xf numFmtId="179" fontId="58" fillId="0" borderId="40" xfId="0" applyNumberFormat="1" applyFont="1" applyBorder="1"/>
    <xf numFmtId="179" fontId="57" fillId="0" borderId="34" xfId="70" applyNumberFormat="1" applyFont="1" applyBorder="1"/>
    <xf numFmtId="0" fontId="55" fillId="0" borderId="48" xfId="0" applyFont="1" applyBorder="1"/>
    <xf numFmtId="0" fontId="55" fillId="0" borderId="49" xfId="0" applyFont="1" applyBorder="1"/>
    <xf numFmtId="4" fontId="55" fillId="0" borderId="34" xfId="1" applyNumberFormat="1" applyFont="1" applyBorder="1"/>
    <xf numFmtId="43" fontId="51" fillId="0" borderId="0" xfId="0" applyNumberFormat="1" applyFont="1" applyAlignment="1">
      <alignment horizontal="right"/>
    </xf>
    <xf numFmtId="41" fontId="51" fillId="0" borderId="0" xfId="0" applyNumberFormat="1" applyFont="1"/>
    <xf numFmtId="179" fontId="51" fillId="0" borderId="0" xfId="0" applyNumberFormat="1" applyFont="1"/>
    <xf numFmtId="43" fontId="51" fillId="0" borderId="0" xfId="0" applyNumberFormat="1" applyFont="1"/>
    <xf numFmtId="0" fontId="59" fillId="0" borderId="0" xfId="0" applyFont="1"/>
    <xf numFmtId="41" fontId="59" fillId="0" borderId="0" xfId="0" applyNumberFormat="1" applyFont="1"/>
    <xf numFmtId="179" fontId="55" fillId="57" borderId="34" xfId="70" applyNumberFormat="1" applyFont="1" applyFill="1" applyBorder="1"/>
    <xf numFmtId="167" fontId="55" fillId="57" borderId="34" xfId="1" applyFont="1" applyFill="1" applyBorder="1"/>
    <xf numFmtId="179" fontId="50" fillId="0" borderId="51" xfId="0" applyNumberFormat="1" applyFont="1" applyBorder="1"/>
    <xf numFmtId="179" fontId="56" fillId="60" borderId="51" xfId="0" applyNumberFormat="1" applyFont="1" applyFill="1" applyBorder="1"/>
    <xf numFmtId="179" fontId="56" fillId="60" borderId="51" xfId="70" applyNumberFormat="1" applyFont="1" applyFill="1" applyBorder="1"/>
    <xf numFmtId="179" fontId="57" fillId="0" borderId="40" xfId="0" applyNumberFormat="1" applyFont="1" applyBorder="1"/>
    <xf numFmtId="0" fontId="53" fillId="0" borderId="45" xfId="0" applyFont="1" applyBorder="1" applyAlignment="1">
      <alignment horizontal="right" wrapText="1"/>
    </xf>
    <xf numFmtId="179" fontId="50" fillId="0" borderId="44" xfId="70" applyNumberFormat="1" applyFont="1" applyBorder="1"/>
    <xf numFmtId="0" fontId="0" fillId="0" borderId="97" xfId="0" applyBorder="1" applyAlignment="1">
      <alignment horizontal="center"/>
    </xf>
    <xf numFmtId="0" fontId="0" fillId="71" borderId="97" xfId="0" applyFill="1" applyBorder="1" applyAlignment="1">
      <alignment horizontal="center"/>
    </xf>
    <xf numFmtId="0" fontId="41" fillId="71" borderId="0" xfId="0" applyFont="1" applyFill="1"/>
    <xf numFmtId="0" fontId="97" fillId="0" borderId="10" xfId="303" applyFont="1" applyBorder="1" applyAlignment="1">
      <alignment horizontal="center"/>
    </xf>
    <xf numFmtId="0" fontId="97" fillId="0" borderId="10" xfId="303" applyFont="1" applyBorder="1"/>
    <xf numFmtId="0" fontId="97" fillId="0" borderId="13" xfId="303" applyFont="1" applyBorder="1"/>
    <xf numFmtId="0" fontId="107" fillId="24" borderId="10" xfId="0" applyFont="1" applyFill="1" applyBorder="1"/>
    <xf numFmtId="0" fontId="76" fillId="0" borderId="18" xfId="0" applyFont="1" applyBorder="1" applyAlignment="1">
      <alignment horizontal="center"/>
    </xf>
    <xf numFmtId="0" fontId="76" fillId="0" borderId="19" xfId="0" applyFont="1" applyBorder="1" applyAlignment="1">
      <alignment horizontal="center"/>
    </xf>
    <xf numFmtId="0" fontId="76" fillId="0" borderId="11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172" fontId="0" fillId="42" borderId="0" xfId="0" applyNumberFormat="1" applyFill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34" borderId="12" xfId="0" applyFill="1" applyBorder="1" applyAlignment="1">
      <alignment horizontal="center"/>
    </xf>
    <xf numFmtId="0" fontId="31" fillId="0" borderId="21" xfId="0" applyFont="1" applyBorder="1" applyAlignment="1">
      <alignment horizontal="left" vertical="center" wrapText="1"/>
    </xf>
    <xf numFmtId="172" fontId="24" fillId="29" borderId="16" xfId="0" applyNumberFormat="1" applyFont="1" applyFill="1" applyBorder="1" applyAlignment="1">
      <alignment horizontal="center"/>
    </xf>
    <xf numFmtId="4" fontId="24" fillId="25" borderId="0" xfId="0" applyNumberFormat="1" applyFont="1" applyFill="1" applyAlignment="1">
      <alignment horizontal="center" vertical="center"/>
    </xf>
    <xf numFmtId="0" fontId="24" fillId="0" borderId="17" xfId="0" applyFont="1" applyBorder="1" applyAlignment="1">
      <alignment horizontal="center"/>
    </xf>
    <xf numFmtId="170" fontId="24" fillId="0" borderId="12" xfId="0" applyNumberFormat="1" applyFont="1" applyBorder="1" applyAlignment="1">
      <alignment horizontal="center" vertical="center"/>
    </xf>
    <xf numFmtId="170" fontId="38" fillId="0" borderId="12" xfId="2" applyBorder="1" applyAlignment="1" applyProtection="1">
      <alignment horizontal="center" vertical="center"/>
    </xf>
    <xf numFmtId="0" fontId="0" fillId="0" borderId="12" xfId="0" applyBorder="1" applyAlignment="1">
      <alignment horizontal="center"/>
    </xf>
    <xf numFmtId="170" fontId="0" fillId="26" borderId="12" xfId="0" applyNumberFormat="1" applyFill="1" applyBorder="1" applyAlignment="1">
      <alignment horizontal="center" vertical="center"/>
    </xf>
    <xf numFmtId="0" fontId="27" fillId="24" borderId="10" xfId="0" applyFont="1" applyFill="1" applyBorder="1"/>
    <xf numFmtId="10" fontId="61" fillId="87" borderId="12" xfId="3" applyNumberFormat="1" applyFont="1" applyFill="1" applyBorder="1" applyAlignment="1">
      <alignment horizontal="center"/>
    </xf>
  </cellXfs>
  <cellStyles count="307">
    <cellStyle name="20% - Colore 1" xfId="209" builtinId="30" customBuiltin="1"/>
    <cellStyle name="20% - Colore 1 2" xfId="4" xr:uid="{00000000-0005-0000-0000-000006000000}"/>
    <cellStyle name="20% - Colore 1 2 2" xfId="247" xr:uid="{2ED06389-56DC-499D-BCF0-43BEA2FED736}"/>
    <cellStyle name="20% - Colore 1 3" xfId="282" xr:uid="{39F4A2DB-2A33-42E7-93E0-4C41B8E0B1FE}"/>
    <cellStyle name="20% - Colore 2" xfId="213" builtinId="34" customBuiltin="1"/>
    <cellStyle name="20% - Colore 2 2" xfId="5" xr:uid="{00000000-0005-0000-0000-000007000000}"/>
    <cellStyle name="20% - Colore 2 2 2" xfId="249" xr:uid="{0F56DE95-2C63-4FD0-9503-A809408F0B2C}"/>
    <cellStyle name="20% - Colore 2 3" xfId="284" xr:uid="{B6196D6A-E70C-4F48-B78F-BFC920B11699}"/>
    <cellStyle name="20% - Colore 3" xfId="217" builtinId="38" customBuiltin="1"/>
    <cellStyle name="20% - Colore 3 2" xfId="6" xr:uid="{00000000-0005-0000-0000-000008000000}"/>
    <cellStyle name="20% - Colore 3 2 2" xfId="251" xr:uid="{6BC77B03-2B00-400F-A463-92BF658BF814}"/>
    <cellStyle name="20% - Colore 3 3" xfId="286" xr:uid="{6D0B7E4C-350E-421A-9EB3-DEB475BEA50F}"/>
    <cellStyle name="20% - Colore 4" xfId="221" builtinId="42" customBuiltin="1"/>
    <cellStyle name="20% - Colore 4 2" xfId="7" xr:uid="{00000000-0005-0000-0000-000009000000}"/>
    <cellStyle name="20% - Colore 4 2 2" xfId="253" xr:uid="{A2C080D2-3106-4413-BAD9-D84E04B0E7AA}"/>
    <cellStyle name="20% - Colore 4 3" xfId="288" xr:uid="{D03DAB3A-DEC7-404B-B5DC-3C8B9DCB543C}"/>
    <cellStyle name="20% - Colore 5" xfId="225" builtinId="46" customBuiltin="1"/>
    <cellStyle name="20% - Colore 5 2" xfId="8" xr:uid="{00000000-0005-0000-0000-00000A000000}"/>
    <cellStyle name="20% - Colore 5 2 2" xfId="255" xr:uid="{342B08F1-2B47-41FD-AF70-B7488F19F733}"/>
    <cellStyle name="20% - Colore 5 3" xfId="290" xr:uid="{2646A449-7115-4824-9783-08D0E0898288}"/>
    <cellStyle name="20% - Colore 6" xfId="229" builtinId="50" customBuiltin="1"/>
    <cellStyle name="20% - Colore 6 2" xfId="9" xr:uid="{00000000-0005-0000-0000-00000B000000}"/>
    <cellStyle name="20% - Colore 6 2 2" xfId="257" xr:uid="{DE7B650A-278F-4FB3-B7A7-C92117838464}"/>
    <cellStyle name="20% - Colore 6 3" xfId="292" xr:uid="{0EC35064-5745-4B52-8CC3-58FC94AF7A62}"/>
    <cellStyle name="40% - Colore 1" xfId="210" builtinId="31" customBuiltin="1"/>
    <cellStyle name="40% - Colore 1 2" xfId="10" xr:uid="{00000000-0005-0000-0000-00000C000000}"/>
    <cellStyle name="40% - Colore 1 2 2" xfId="248" xr:uid="{4927307C-B6A3-4217-B74A-EC2538B37064}"/>
    <cellStyle name="40% - Colore 1 3" xfId="283" xr:uid="{0D52036A-D8FE-4360-AE17-0B34554BEA15}"/>
    <cellStyle name="40% - Colore 2" xfId="214" builtinId="35" customBuiltin="1"/>
    <cellStyle name="40% - Colore 2 2" xfId="11" xr:uid="{00000000-0005-0000-0000-00000D000000}"/>
    <cellStyle name="40% - Colore 2 2 2" xfId="250" xr:uid="{1B977CC7-EC2C-4748-B52B-C1B0094CDEA6}"/>
    <cellStyle name="40% - Colore 2 3" xfId="285" xr:uid="{321A2762-013D-4C44-908A-4F74F0EE6924}"/>
    <cellStyle name="40% - Colore 3" xfId="218" builtinId="39" customBuiltin="1"/>
    <cellStyle name="40% - Colore 3 2" xfId="12" xr:uid="{00000000-0005-0000-0000-00000E000000}"/>
    <cellStyle name="40% - Colore 3 2 2" xfId="252" xr:uid="{C2D7D0B0-21A1-4079-B88A-E7C76C71448E}"/>
    <cellStyle name="40% - Colore 3 3" xfId="287" xr:uid="{03593EB9-2585-43D0-BBA8-72C2FAFA0FE7}"/>
    <cellStyle name="40% - Colore 4" xfId="222" builtinId="43" customBuiltin="1"/>
    <cellStyle name="40% - Colore 4 2" xfId="13" xr:uid="{00000000-0005-0000-0000-00000F000000}"/>
    <cellStyle name="40% - Colore 4 2 2" xfId="254" xr:uid="{9E67A8DE-00FF-4A89-9625-882B8CEFAB2D}"/>
    <cellStyle name="40% - Colore 4 3" xfId="289" xr:uid="{BFD56067-93C6-4BBE-BD02-EF8CA44CBE85}"/>
    <cellStyle name="40% - Colore 5" xfId="226" builtinId="47" customBuiltin="1"/>
    <cellStyle name="40% - Colore 5 2" xfId="14" xr:uid="{00000000-0005-0000-0000-000010000000}"/>
    <cellStyle name="40% - Colore 5 2 2" xfId="256" xr:uid="{8BA099DC-746B-4C76-B7CA-9DCFAFA45DE6}"/>
    <cellStyle name="40% - Colore 5 3" xfId="291" xr:uid="{EE73B7AB-2772-4616-BA29-32084A46EDCC}"/>
    <cellStyle name="40% - Colore 6" xfId="230" builtinId="51" customBuiltin="1"/>
    <cellStyle name="40% - Colore 6 2" xfId="15" xr:uid="{00000000-0005-0000-0000-000011000000}"/>
    <cellStyle name="40% - Colore 6 2 2" xfId="258" xr:uid="{032B7205-27A4-4FD8-9266-89B5BAC3D102}"/>
    <cellStyle name="40% - Colore 6 3" xfId="293" xr:uid="{691AE1D6-CF59-4DFE-8304-DBD0D3A9C1AA}"/>
    <cellStyle name="60% - Colore 1" xfId="211" builtinId="32" customBuiltin="1"/>
    <cellStyle name="60% - Colore 1 2" xfId="16" xr:uid="{00000000-0005-0000-0000-000012000000}"/>
    <cellStyle name="60% - Colore 1 2 2" xfId="294" xr:uid="{7BDC5080-945F-4204-BEBE-B560DCF877E1}"/>
    <cellStyle name="60% - Colore 1 2 3" xfId="233" xr:uid="{37E83182-D9F3-432D-8583-ECC197B1EFB7}"/>
    <cellStyle name="60% - Colore 2" xfId="215" builtinId="36" customBuiltin="1"/>
    <cellStyle name="60% - Colore 2 2" xfId="17" xr:uid="{00000000-0005-0000-0000-000013000000}"/>
    <cellStyle name="60% - Colore 2 2 2" xfId="295" xr:uid="{2937D1F2-F162-4AC5-8739-9829042EC650}"/>
    <cellStyle name="60% - Colore 2 2 3" xfId="234" xr:uid="{00721554-7530-451E-8220-602DB9511F40}"/>
    <cellStyle name="60% - Colore 3" xfId="219" builtinId="40" customBuiltin="1"/>
    <cellStyle name="60% - Colore 3 2" xfId="18" xr:uid="{00000000-0005-0000-0000-000014000000}"/>
    <cellStyle name="60% - Colore 3 2 2" xfId="296" xr:uid="{769F63D6-FC6A-4932-AE3B-C1FB72658246}"/>
    <cellStyle name="60% - Colore 3 2 3" xfId="235" xr:uid="{E6048DF7-7E30-402E-A519-FED361A5610D}"/>
    <cellStyle name="60% - Colore 4" xfId="223" builtinId="44" customBuiltin="1"/>
    <cellStyle name="60% - Colore 4 2" xfId="19" xr:uid="{00000000-0005-0000-0000-000015000000}"/>
    <cellStyle name="60% - Colore 4 2 2" xfId="297" xr:uid="{066771C1-2130-463A-BA90-86796D7BA159}"/>
    <cellStyle name="60% - Colore 4 2 3" xfId="236" xr:uid="{4A76005B-A50D-4A1B-AA47-9C17C4E987B6}"/>
    <cellStyle name="60% - Colore 5" xfId="227" builtinId="48" customBuiltin="1"/>
    <cellStyle name="60% - Colore 5 2" xfId="20" xr:uid="{00000000-0005-0000-0000-000016000000}"/>
    <cellStyle name="60% - Colore 5 2 2" xfId="298" xr:uid="{C2A46229-E656-4CC2-A8C4-63A44F2F3372}"/>
    <cellStyle name="60% - Colore 5 2 3" xfId="237" xr:uid="{B4E16379-BD68-4BCE-81E7-BD8C28080681}"/>
    <cellStyle name="60% - Colore 6" xfId="231" builtinId="52" customBuiltin="1"/>
    <cellStyle name="60% - Colore 6 2" xfId="21" xr:uid="{00000000-0005-0000-0000-000017000000}"/>
    <cellStyle name="60% - Colore 6 2 2" xfId="299" xr:uid="{0D354771-4586-4C06-9884-E2FEE942863B}"/>
    <cellStyle name="60% - Colore 6 2 3" xfId="238" xr:uid="{C04A36B6-7B35-4DB9-8FA7-4EAB86A4B67B}"/>
    <cellStyle name="Calcolo" xfId="202" builtinId="22" customBuiltin="1"/>
    <cellStyle name="Calcolo 2" xfId="22" xr:uid="{00000000-0005-0000-0000-000018000000}"/>
    <cellStyle name="Calcolo 2 2" xfId="23" xr:uid="{00000000-0005-0000-0000-000019000000}"/>
    <cellStyle name="Cella collegata" xfId="203" builtinId="24" customBuiltin="1"/>
    <cellStyle name="Cella collegata 2" xfId="24" xr:uid="{00000000-0005-0000-0000-00001A000000}"/>
    <cellStyle name="Cella da controllare" xfId="204" builtinId="23" customBuiltin="1"/>
    <cellStyle name="Cella da controllare 2" xfId="25" xr:uid="{00000000-0005-0000-0000-00001B000000}"/>
    <cellStyle name="Collegamento ipertestuale 2" xfId="26" xr:uid="{00000000-0005-0000-0000-00001C000000}"/>
    <cellStyle name="Collegamento ipertestuale 2 2" xfId="114" xr:uid="{00000000-0005-0000-0000-000000000000}"/>
    <cellStyle name="Collegamento ipertestuale 3" xfId="121" xr:uid="{00000000-0005-0000-0000-000038000000}"/>
    <cellStyle name="Colore 1" xfId="208" builtinId="29" customBuiltin="1"/>
    <cellStyle name="Colore 1 2" xfId="27" xr:uid="{00000000-0005-0000-0000-00001D000000}"/>
    <cellStyle name="Colore 2" xfId="212" builtinId="33" customBuiltin="1"/>
    <cellStyle name="Colore 2 2" xfId="28" xr:uid="{00000000-0005-0000-0000-00001E000000}"/>
    <cellStyle name="Colore 3" xfId="216" builtinId="37" customBuiltin="1"/>
    <cellStyle name="Colore 3 2" xfId="29" xr:uid="{00000000-0005-0000-0000-00001F000000}"/>
    <cellStyle name="Colore 4" xfId="220" builtinId="41" customBuiltin="1"/>
    <cellStyle name="Colore 4 2" xfId="30" xr:uid="{00000000-0005-0000-0000-000020000000}"/>
    <cellStyle name="Colore 5" xfId="224" builtinId="45" customBuiltin="1"/>
    <cellStyle name="Colore 5 2" xfId="31" xr:uid="{00000000-0005-0000-0000-000021000000}"/>
    <cellStyle name="Colore 6" xfId="228" builtinId="49" customBuiltin="1"/>
    <cellStyle name="Colore 6 2" xfId="32" xr:uid="{00000000-0005-0000-0000-000022000000}"/>
    <cellStyle name="Euro" xfId="33" xr:uid="{00000000-0005-0000-0000-000023000000}"/>
    <cellStyle name="Euro 2" xfId="34" xr:uid="{00000000-0005-0000-0000-000024000000}"/>
    <cellStyle name="Euro 2 2" xfId="125" xr:uid="{00000000-0005-0000-0000-000002000000}"/>
    <cellStyle name="Euro 2 3" xfId="118" xr:uid="{00000000-0005-0000-0000-000002000000}"/>
    <cellStyle name="Euro 3" xfId="35" xr:uid="{00000000-0005-0000-0000-000025000000}"/>
    <cellStyle name="Euro 3 2" xfId="117" xr:uid="{00000000-0005-0000-0000-000001000000}"/>
    <cellStyle name="Euro 4" xfId="124" xr:uid="{00000000-0005-0000-0000-000001000000}"/>
    <cellStyle name="Euro 5" xfId="115" xr:uid="{00000000-0005-0000-0000-000001000000}"/>
    <cellStyle name="Euro 6" xfId="135" xr:uid="{00000000-0005-0000-0000-000000000000}"/>
    <cellStyle name="Euro 7" xfId="161" xr:uid="{29194D89-E6ED-4956-B485-87FB32179D90}"/>
    <cellStyle name="Input" xfId="200" builtinId="20" customBuiltin="1"/>
    <cellStyle name="Input 2" xfId="36" xr:uid="{00000000-0005-0000-0000-000026000000}"/>
    <cellStyle name="Input 2 2" xfId="37" xr:uid="{00000000-0005-0000-0000-000027000000}"/>
    <cellStyle name="Migliaia" xfId="1" builtinId="3"/>
    <cellStyle name="Migliaia (0)_Attacco VVF" xfId="38" xr:uid="{00000000-0005-0000-0000-000028000000}"/>
    <cellStyle name="Migliaia [0] 2" xfId="70" xr:uid="{00000000-0005-0000-0000-000048000000}"/>
    <cellStyle name="Migliaia [0] 2 2" xfId="71" xr:uid="{00000000-0005-0000-0000-000049000000}"/>
    <cellStyle name="Migliaia [0] 3" xfId="72" xr:uid="{00000000-0005-0000-0000-00004A000000}"/>
    <cellStyle name="Migliaia [0] 3 2" xfId="73" xr:uid="{00000000-0005-0000-0000-00004B000000}"/>
    <cellStyle name="Migliaia 10" xfId="39" xr:uid="{00000000-0005-0000-0000-000029000000}"/>
    <cellStyle name="Migliaia 10 2" xfId="40" xr:uid="{00000000-0005-0000-0000-00002A000000}"/>
    <cellStyle name="Migliaia 11" xfId="41" xr:uid="{00000000-0005-0000-0000-00002B000000}"/>
    <cellStyle name="Migliaia 11 2" xfId="42" xr:uid="{00000000-0005-0000-0000-00002C000000}"/>
    <cellStyle name="Migliaia 12" xfId="43" xr:uid="{00000000-0005-0000-0000-00002D000000}"/>
    <cellStyle name="Migliaia 12 2" xfId="44" xr:uid="{00000000-0005-0000-0000-00002E000000}"/>
    <cellStyle name="Migliaia 13" xfId="45" xr:uid="{00000000-0005-0000-0000-00002F000000}"/>
    <cellStyle name="Migliaia 13 2" xfId="46" xr:uid="{00000000-0005-0000-0000-000030000000}"/>
    <cellStyle name="Migliaia 14" xfId="47" xr:uid="{00000000-0005-0000-0000-000031000000}"/>
    <cellStyle name="Migliaia 15" xfId="48" xr:uid="{00000000-0005-0000-0000-000032000000}"/>
    <cellStyle name="Migliaia 16" xfId="49" xr:uid="{00000000-0005-0000-0000-000033000000}"/>
    <cellStyle name="Migliaia 17" xfId="50" xr:uid="{00000000-0005-0000-0000-000034000000}"/>
    <cellStyle name="Migliaia 18" xfId="51" xr:uid="{00000000-0005-0000-0000-000035000000}"/>
    <cellStyle name="Migliaia 19" xfId="52" xr:uid="{00000000-0005-0000-0000-000036000000}"/>
    <cellStyle name="Migliaia 2" xfId="53" xr:uid="{00000000-0005-0000-0000-000037000000}"/>
    <cellStyle name="Migliaia 2 2" xfId="54" xr:uid="{00000000-0005-0000-0000-000038000000}"/>
    <cellStyle name="Migliaia 2 2 2" xfId="127" xr:uid="{00000000-0005-0000-0000-000004000000}"/>
    <cellStyle name="Migliaia 2 2 2 2" xfId="174" xr:uid="{DE8F5D21-8BAC-496F-91D6-23F7BE510887}"/>
    <cellStyle name="Migliaia 2 2 3" xfId="163" xr:uid="{9FBED437-C620-4990-8C15-511F41226636}"/>
    <cellStyle name="Migliaia 2 2 4" xfId="151" xr:uid="{10FA1A11-9C24-418A-8EF0-22A47FEA6009}"/>
    <cellStyle name="Migliaia 2 2 5" xfId="277" xr:uid="{E4D5D76A-EC58-4FF4-86F0-CE251AD84759}"/>
    <cellStyle name="Migliaia 2 3" xfId="120" xr:uid="{00000000-0005-0000-0000-000004000000}"/>
    <cellStyle name="Migliaia 2 3 2" xfId="153" xr:uid="{1A3C9411-5AE0-4376-A919-2285EEABB911}"/>
    <cellStyle name="Migliaia 2 3 3" xfId="281" xr:uid="{153D0D5D-47E3-4BC0-8EA8-735CC4EE7D4B}"/>
    <cellStyle name="Migliaia 2 4" xfId="145" xr:uid="{A5153C09-1E81-40A1-AFC3-C790378F3D47}"/>
    <cellStyle name="Migliaia 2 4 2" xfId="155" xr:uid="{FC39C392-9309-44D5-A9A7-69A817E3B774}"/>
    <cellStyle name="Migliaia 2 5" xfId="162" xr:uid="{E6E50851-66A8-4FF4-95DA-D1EA95C43248}"/>
    <cellStyle name="Migliaia 2 6" xfId="148" xr:uid="{B68AF94A-408E-4EBD-8771-32C1CFEA8163}"/>
    <cellStyle name="Migliaia 2 7" xfId="268" xr:uid="{BA833133-5E5E-47EF-ABCB-7D209490E71A}"/>
    <cellStyle name="Migliaia 20" xfId="55" xr:uid="{00000000-0005-0000-0000-000039000000}"/>
    <cellStyle name="Migliaia 21" xfId="129" xr:uid="{00000000-0005-0000-0000-0000A5000000}"/>
    <cellStyle name="Migliaia 21 2" xfId="176" xr:uid="{BD524099-8D2C-4515-8B88-054B509A993E}"/>
    <cellStyle name="Migliaia 22" xfId="132" xr:uid="{00000000-0005-0000-0000-0000AF000000}"/>
    <cellStyle name="Migliaia 22 2" xfId="179" xr:uid="{5EBC092A-469A-422C-BA70-174D696A52D5}"/>
    <cellStyle name="Migliaia 23" xfId="134" xr:uid="{00000000-0005-0000-0000-0000B1000000}"/>
    <cellStyle name="Migliaia 23 2" xfId="181" xr:uid="{82BDA4FE-AB3C-4896-A995-A587C42B4BE9}"/>
    <cellStyle name="Migliaia 24" xfId="136" xr:uid="{00000000-0005-0000-0000-0000B3000000}"/>
    <cellStyle name="Migliaia 24 2" xfId="182" xr:uid="{25D0E46F-31A0-4FF9-80A4-D48E89201841}"/>
    <cellStyle name="Migliaia 25" xfId="142" xr:uid="{9398233E-3095-40B0-8EDD-DC8A72DD6DEE}"/>
    <cellStyle name="Migliaia 25 2" xfId="158" xr:uid="{D0E1D3B9-BE4B-4619-9A09-9697F1E95BE3}"/>
    <cellStyle name="Migliaia 26" xfId="143" xr:uid="{8EE502C9-5487-4616-9C36-D36C031364D3}"/>
    <cellStyle name="Migliaia 26 2" xfId="186" xr:uid="{1FC7BB06-5072-474B-B0DA-409957CCCC11}"/>
    <cellStyle name="Migliaia 27" xfId="147" xr:uid="{BA19F265-1574-444E-82EB-3899A0421C4E}"/>
    <cellStyle name="Migliaia 28" xfId="169" xr:uid="{310BF3E2-EA72-4243-94E1-DAAF128BA2EA}"/>
    <cellStyle name="Migliaia 29" xfId="239" xr:uid="{CEE00343-7B3B-4371-997A-E369FF46799E}"/>
    <cellStyle name="Migliaia 3" xfId="56" xr:uid="{00000000-0005-0000-0000-00003A000000}"/>
    <cellStyle name="Migliaia 3 2" xfId="57" xr:uid="{00000000-0005-0000-0000-00003B000000}"/>
    <cellStyle name="Migliaia 3 3" xfId="119" xr:uid="{00000000-0005-0000-0000-000035000000}"/>
    <cellStyle name="Migliaia 3 3 2" xfId="172" xr:uid="{8237976A-13EF-4E3E-93EE-03FFD5141FAB}"/>
    <cellStyle name="Migliaia 3 4" xfId="144" xr:uid="{A5F9260A-6EF6-4F58-A349-E98A2B720DC2}"/>
    <cellStyle name="Migliaia 3 4 2" xfId="164" xr:uid="{D24BB6F8-E873-40BC-BBBD-049A8BAD7868}"/>
    <cellStyle name="Migliaia 3 5" xfId="150" xr:uid="{FA69C9DE-45CF-431D-B991-EEAEB50202B2}"/>
    <cellStyle name="Migliaia 3 6" xfId="300" xr:uid="{E1FD6899-9A2B-41D9-BA85-3E2816325B8D}"/>
    <cellStyle name="Migliaia 30" xfId="244" xr:uid="{6F20B08C-8ECF-492F-935E-1F8BF14D2534}"/>
    <cellStyle name="Migliaia 31" xfId="269" xr:uid="{CE444B46-1CCB-4268-A705-E4A5BCE52035}"/>
    <cellStyle name="Migliaia 4" xfId="58" xr:uid="{00000000-0005-0000-0000-00003C000000}"/>
    <cellStyle name="Migliaia 4 2" xfId="59" xr:uid="{00000000-0005-0000-0000-00003D000000}"/>
    <cellStyle name="Migliaia 4 3" xfId="126" xr:uid="{00000000-0005-0000-0000-00003B000000}"/>
    <cellStyle name="Migliaia 4 3 2" xfId="173" xr:uid="{797402A3-A502-4C5F-8DD3-72F52AB5C5EE}"/>
    <cellStyle name="Migliaia 4 4" xfId="165" xr:uid="{50F41A45-CD08-4A08-98D0-05D45671E157}"/>
    <cellStyle name="Migliaia 4 5" xfId="152" xr:uid="{790D46A2-3F9E-401E-BBBD-3742CEA7CC4E}"/>
    <cellStyle name="Migliaia 5" xfId="60" xr:uid="{00000000-0005-0000-0000-00003E000000}"/>
    <cellStyle name="Migliaia 5 2" xfId="61" xr:uid="{00000000-0005-0000-0000-00003F000000}"/>
    <cellStyle name="Migliaia 5 3" xfId="166" xr:uid="{E09898DC-7460-4E81-8B4D-F5CB899BCDC3}"/>
    <cellStyle name="Migliaia 5 4" xfId="154" xr:uid="{B5B07508-2669-4E3A-9DE5-15B4F73B9E15}"/>
    <cellStyle name="Migliaia 6" xfId="62" xr:uid="{00000000-0005-0000-0000-000040000000}"/>
    <cellStyle name="Migliaia 6 2" xfId="63" xr:uid="{00000000-0005-0000-0000-000041000000}"/>
    <cellStyle name="Migliaia 7" xfId="64" xr:uid="{00000000-0005-0000-0000-000042000000}"/>
    <cellStyle name="Migliaia 7 2" xfId="65" xr:uid="{00000000-0005-0000-0000-000043000000}"/>
    <cellStyle name="Migliaia 8" xfId="66" xr:uid="{00000000-0005-0000-0000-000044000000}"/>
    <cellStyle name="Migliaia 8 2" xfId="67" xr:uid="{00000000-0005-0000-0000-000045000000}"/>
    <cellStyle name="Migliaia 9" xfId="68" xr:uid="{00000000-0005-0000-0000-000046000000}"/>
    <cellStyle name="Migliaia 9 2" xfId="69" xr:uid="{00000000-0005-0000-0000-000047000000}"/>
    <cellStyle name="Neutrale" xfId="199" builtinId="28" customBuiltin="1"/>
    <cellStyle name="Neutrale 2" xfId="74" xr:uid="{00000000-0005-0000-0000-00004C000000}"/>
    <cellStyle name="Neutrale 2 2" xfId="240" xr:uid="{CB473469-7E91-4F0D-9459-000140651CFC}"/>
    <cellStyle name="Normale" xfId="0" builtinId="0"/>
    <cellStyle name="Normale 10" xfId="139" xr:uid="{7D5501BA-7421-4C5F-A3A5-61A47BCBF47C}"/>
    <cellStyle name="Normale 10 2" xfId="184" xr:uid="{93C1A459-BA2A-45B4-964E-7559E03DBD2C}"/>
    <cellStyle name="Normale 10 3" xfId="278" xr:uid="{69ADE48A-4FF4-4E12-9CEA-0F2121DD466B}"/>
    <cellStyle name="Normale 11" xfId="141" xr:uid="{E5C1EA23-813A-4652-8F00-3322D48BB7D8}"/>
    <cellStyle name="Normale 11 2" xfId="157" xr:uid="{4759D490-2FD9-40CB-86FF-606AECF86EC2}"/>
    <cellStyle name="Normale 11 3" xfId="259" xr:uid="{F1E12888-150F-4DAB-8FF7-0498652E37EE}"/>
    <cellStyle name="Normale 12" xfId="146" xr:uid="{25BA2B8C-606D-4856-AFC3-FC2A08C43791}"/>
    <cellStyle name="Normale 13" xfId="232" xr:uid="{D9AA648C-7AE8-4D45-9A26-965BBF3C9C60}"/>
    <cellStyle name="Normale 14" xfId="303" xr:uid="{2D7FC79C-E71D-496A-8B4A-681EE16546C7}"/>
    <cellStyle name="Normale 15" xfId="306" xr:uid="{92A11A17-240A-444D-80F0-EC94BE815096}"/>
    <cellStyle name="Normale 2" xfId="75" xr:uid="{00000000-0005-0000-0000-00004D000000}"/>
    <cellStyle name="Normale 2 2" xfId="76" xr:uid="{00000000-0005-0000-0000-00004E000000}"/>
    <cellStyle name="Normale 2 2 2" xfId="261" xr:uid="{58733A12-398D-4856-A146-4ACD46F0C812}"/>
    <cellStyle name="Normale 2 3" xfId="77" xr:uid="{00000000-0005-0000-0000-00004F000000}"/>
    <cellStyle name="Normale 2 4" xfId="78" xr:uid="{00000000-0005-0000-0000-000050000000}"/>
    <cellStyle name="Normale 2 5" xfId="122" xr:uid="{00000000-0005-0000-0000-000039000000}"/>
    <cellStyle name="Normale 2 6" xfId="140" xr:uid="{3DA80C71-F3C9-48F9-93E7-3FF0C15ABBF0}"/>
    <cellStyle name="Normale 2 7" xfId="167" xr:uid="{3FE1BE25-2E19-4E8A-B542-401CB5291953}"/>
    <cellStyle name="Normale 3" xfId="79" xr:uid="{00000000-0005-0000-0000-000051000000}"/>
    <cellStyle name="Normale 3 2" xfId="80" xr:uid="{00000000-0005-0000-0000-000052000000}"/>
    <cellStyle name="Normale 3 2 2" xfId="262" xr:uid="{5FB1C7BC-78AC-40D0-B31E-B4B0F15378AF}"/>
    <cellStyle name="Normale 3 3" xfId="123" xr:uid="{00000000-0005-0000-0000-00003D000000}"/>
    <cellStyle name="Normale 3 4" xfId="245" xr:uid="{0FD6781B-43B9-4072-92B9-87639747FC05}"/>
    <cellStyle name="Normale 4" xfId="81" xr:uid="{00000000-0005-0000-0000-000053000000}"/>
    <cellStyle name="Normale 4 2" xfId="82" xr:uid="{00000000-0005-0000-0000-000054000000}"/>
    <cellStyle name="Normale 4 3" xfId="83" xr:uid="{00000000-0005-0000-0000-000055000000}"/>
    <cellStyle name="Normale 4 4" xfId="263" xr:uid="{57573FA5-17AA-4356-BCF8-77B9E629C3D0}"/>
    <cellStyle name="Normale 5" xfId="84" xr:uid="{00000000-0005-0000-0000-000056000000}"/>
    <cellStyle name="Normale 5 2" xfId="264" xr:uid="{AB036C6A-EC51-4ABD-BFC0-40A8B8C3A5B9}"/>
    <cellStyle name="Normale 6" xfId="85" xr:uid="{00000000-0005-0000-0000-000057000000}"/>
    <cellStyle name="Normale 6 2" xfId="266" xr:uid="{1385D317-631D-4C46-9A52-B797008DC1FE}"/>
    <cellStyle name="Normale 7" xfId="113" xr:uid="{00000000-0005-0000-0000-0000AA000000}"/>
    <cellStyle name="Normale 7 2" xfId="267" xr:uid="{69C9E364-39E5-4B7D-B173-3525DE7B4161}"/>
    <cellStyle name="Normale 8" xfId="130" xr:uid="{00000000-0005-0000-0000-0000AD000000}"/>
    <cellStyle name="Normale 8 2" xfId="177" xr:uid="{E38CAFCE-04CC-495A-83ED-A0F4B1B6AEE5}"/>
    <cellStyle name="Normale 8 3" xfId="271" xr:uid="{D35F6953-FEFD-401C-8A78-3883FD7056D5}"/>
    <cellStyle name="Normale 8 4" xfId="305" xr:uid="{A1D3F10C-96F9-43C5-9DE7-3E7874313BDF}"/>
    <cellStyle name="Normale 9" xfId="138" xr:uid="{00000000-0005-0000-0000-0000B5000000}"/>
    <cellStyle name="Normale 9 2" xfId="183" xr:uid="{4F87FE80-6DA6-48C6-88DD-FBCBC9641272}"/>
    <cellStyle name="Normale 9 3" xfId="274" xr:uid="{A12BEBB8-A022-4FFF-8D2D-50D362C11BE5}"/>
    <cellStyle name="Normale 9 4" xfId="304" xr:uid="{720409A2-E572-4DF5-867F-B3FEA03E7A96}"/>
    <cellStyle name="Nota 2" xfId="86" xr:uid="{00000000-0005-0000-0000-000058000000}"/>
    <cellStyle name="Nota 2 2" xfId="87" xr:uid="{00000000-0005-0000-0000-000059000000}"/>
    <cellStyle name="Nota 2 2 2" xfId="301" xr:uid="{8915531C-0379-48DC-BED8-1BC53F14A18A}"/>
    <cellStyle name="Nota 2 3" xfId="241" xr:uid="{669A92A8-0433-427C-9BFF-B96288AE060A}"/>
    <cellStyle name="Nota 3" xfId="246" xr:uid="{AE7A62DB-F8C4-4C77-BF77-385E7A3C1203}"/>
    <cellStyle name="Output" xfId="201" builtinId="21" customBuiltin="1"/>
    <cellStyle name="Output 2" xfId="88" xr:uid="{00000000-0005-0000-0000-00005A000000}"/>
    <cellStyle name="Output 2 2" xfId="89" xr:uid="{00000000-0005-0000-0000-00005B000000}"/>
    <cellStyle name="Percentuale" xfId="3" builtinId="5"/>
    <cellStyle name="Percentuale 2" xfId="90" xr:uid="{00000000-0005-0000-0000-00005C000000}"/>
    <cellStyle name="Percentuale 2 2" xfId="91" xr:uid="{00000000-0005-0000-0000-00005D000000}"/>
    <cellStyle name="Percentuale 2 3" xfId="116" xr:uid="{00000000-0005-0000-0000-000003000000}"/>
    <cellStyle name="Percentuale 2 4" xfId="168" xr:uid="{20F75179-C6C6-4467-8F63-71B708697DA0}"/>
    <cellStyle name="Percentuale 2 5" xfId="302" xr:uid="{7DF9DC1D-7336-42CB-8323-94E81B3E91A1}"/>
    <cellStyle name="Percentuale 3" xfId="92" xr:uid="{00000000-0005-0000-0000-00005E000000}"/>
    <cellStyle name="Percentuale 4" xfId="160" xr:uid="{9AB21525-1544-4D04-9D88-8C5D1B0E05DA}"/>
    <cellStyle name="Percentuale 5" xfId="242" xr:uid="{1910470E-8B86-4C0D-8CA8-931B58A80D13}"/>
    <cellStyle name="Testo avviso" xfId="205" builtinId="11" customBuiltin="1"/>
    <cellStyle name="Testo avviso 2" xfId="93" xr:uid="{00000000-0005-0000-0000-00005F000000}"/>
    <cellStyle name="Testo descrittivo" xfId="206" builtinId="53" customBuiltin="1"/>
    <cellStyle name="Testo descrittivo 2" xfId="94" xr:uid="{00000000-0005-0000-0000-000060000000}"/>
    <cellStyle name="Titolo" xfId="192" builtinId="15" customBuiltin="1"/>
    <cellStyle name="Titolo 1" xfId="193" builtinId="16" customBuiltin="1"/>
    <cellStyle name="Titolo 1 2" xfId="95" xr:uid="{00000000-0005-0000-0000-000061000000}"/>
    <cellStyle name="Titolo 2" xfId="194" builtinId="17" customBuiltin="1"/>
    <cellStyle name="Titolo 2 2" xfId="96" xr:uid="{00000000-0005-0000-0000-000062000000}"/>
    <cellStyle name="Titolo 3" xfId="195" builtinId="18" customBuiltin="1"/>
    <cellStyle name="Titolo 3 2" xfId="97" xr:uid="{00000000-0005-0000-0000-000063000000}"/>
    <cellStyle name="Titolo 4" xfId="196" builtinId="19" customBuiltin="1"/>
    <cellStyle name="Titolo 4 2" xfId="98" xr:uid="{00000000-0005-0000-0000-000064000000}"/>
    <cellStyle name="Titolo 5" xfId="99" xr:uid="{00000000-0005-0000-0000-000065000000}"/>
    <cellStyle name="Titolo 5 2" xfId="243" xr:uid="{3C30E2C4-B834-40F0-AAAB-4096A24FDCE1}"/>
    <cellStyle name="Totale" xfId="207" builtinId="25" customBuiltin="1"/>
    <cellStyle name="Totale 2" xfId="100" xr:uid="{00000000-0005-0000-0000-000066000000}"/>
    <cellStyle name="Totale 2 2" xfId="101" xr:uid="{00000000-0005-0000-0000-000067000000}"/>
    <cellStyle name="Valore non valido" xfId="198" builtinId="27" customBuiltin="1"/>
    <cellStyle name="Valore non valido 2" xfId="102" xr:uid="{00000000-0005-0000-0000-000068000000}"/>
    <cellStyle name="Valore valido" xfId="197" builtinId="26" customBuiltin="1"/>
    <cellStyle name="Valore valido 2" xfId="103" xr:uid="{00000000-0005-0000-0000-000069000000}"/>
    <cellStyle name="Valuta" xfId="2" builtinId="4"/>
    <cellStyle name="Valuta (0)_2003-SETTEMBRE" xfId="104" xr:uid="{00000000-0005-0000-0000-00006A000000}"/>
    <cellStyle name="Valuta 10" xfId="159" xr:uid="{7BB6B9CD-24CA-411F-89B8-1789A1045B41}"/>
    <cellStyle name="Valuta 11" xfId="187" xr:uid="{F7E2F813-0F65-4980-B3BB-ED459B4F0870}"/>
    <cellStyle name="Valuta 12" xfId="185" xr:uid="{760B5FDD-E816-4E9B-998B-6A60C379EF65}"/>
    <cellStyle name="Valuta 13" xfId="191" xr:uid="{D0F72C37-2542-402D-9BE5-42BC4954A0C5}"/>
    <cellStyle name="Valuta 14" xfId="156" xr:uid="{31716E08-5850-4A34-B1AC-0DB69B528D97}"/>
    <cellStyle name="Valuta 15" xfId="171" xr:uid="{8855DE07-21DA-4DF1-9496-5B8E80F067EB}"/>
    <cellStyle name="Valuta 2" xfId="105" xr:uid="{00000000-0005-0000-0000-00006B000000}"/>
    <cellStyle name="Valuta 2 2" xfId="106" xr:uid="{00000000-0005-0000-0000-00006C000000}"/>
    <cellStyle name="Valuta 2 2 2" xfId="107" xr:uid="{00000000-0005-0000-0000-00006D000000}"/>
    <cellStyle name="Valuta 2 2 3" xfId="276" xr:uid="{5A44AA1B-441D-4B7E-92A4-8C9549A9CAC4}"/>
    <cellStyle name="Valuta 2 3" xfId="108" xr:uid="{00000000-0005-0000-0000-00006E000000}"/>
    <cellStyle name="Valuta 2 3 2" xfId="280" xr:uid="{9FB92588-22EB-4B1D-913C-35F3CB92AC6A}"/>
    <cellStyle name="Valuta 2 4" xfId="170" xr:uid="{116064CF-B3B9-4FC5-87AD-BF24C45D5BFD}"/>
    <cellStyle name="Valuta 2 4 2" xfId="273" xr:uid="{9D12C51F-E8EA-4F05-B260-00E5913580E5}"/>
    <cellStyle name="Valuta 2 5" xfId="149" xr:uid="{714B4722-E4D5-4233-8C56-EA4DECDCAA9C}"/>
    <cellStyle name="Valuta 2 6" xfId="265" xr:uid="{B6F10B76-E90B-432E-AA44-E6A71F69BB41}"/>
    <cellStyle name="Valuta 3" xfId="109" xr:uid="{00000000-0005-0000-0000-00006F000000}"/>
    <cellStyle name="Valuta 3 2" xfId="272" xr:uid="{FABF8B95-707D-4FA8-BE58-5EF02971127D}"/>
    <cellStyle name="Valuta 4" xfId="110" xr:uid="{00000000-0005-0000-0000-000070000000}"/>
    <cellStyle name="Valuta 4 2" xfId="111" xr:uid="{00000000-0005-0000-0000-000071000000}"/>
    <cellStyle name="Valuta 4 3" xfId="275" xr:uid="{0ED49956-8592-4886-9C1A-E7FE354D6F65}"/>
    <cellStyle name="Valuta 5" xfId="112" xr:uid="{00000000-0005-0000-0000-000072000000}"/>
    <cellStyle name="Valuta 5 2" xfId="279" xr:uid="{5CCE8BF2-5328-4889-AEC4-5E4853D78E64}"/>
    <cellStyle name="Valuta 6" xfId="128" xr:uid="{00000000-0005-0000-0000-0000AE000000}"/>
    <cellStyle name="Valuta 6 2" xfId="188" xr:uid="{D21DFCF0-4539-40EC-AFE7-36C78C7A4A70}"/>
    <cellStyle name="Valuta 6 3" xfId="175" xr:uid="{7E94FAE9-02B8-4A3D-83FB-0A16C476EC7F}"/>
    <cellStyle name="Valuta 6 4" xfId="270" xr:uid="{5B934C60-ED37-4C3A-B6F4-3FFF6FDCBE5D}"/>
    <cellStyle name="Valuta 7" xfId="131" xr:uid="{00000000-0005-0000-0000-0000B0000000}"/>
    <cellStyle name="Valuta 7 2" xfId="189" xr:uid="{EA678BBF-BE45-4580-ADAF-BC704FAE11AC}"/>
    <cellStyle name="Valuta 7 3" xfId="178" xr:uid="{2472F283-B13F-4069-871F-F57DE821EB44}"/>
    <cellStyle name="Valuta 7 4" xfId="260" xr:uid="{1AC0A09F-1B37-4B5C-AE04-9D205E413A5A}"/>
    <cellStyle name="Valuta 8" xfId="133" xr:uid="{00000000-0005-0000-0000-0000B2000000}"/>
    <cellStyle name="Valuta 8 2" xfId="190" xr:uid="{33B28DE3-C93F-4884-96CD-7732AF77E518}"/>
    <cellStyle name="Valuta 8 3" xfId="180" xr:uid="{86BCF704-F9A9-4A14-9928-17857289D34F}"/>
    <cellStyle name="Valuta 9" xfId="137" xr:uid="{00000000-0005-0000-0000-0000B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FF2CC"/>
      <rgbColor rgb="FF008000"/>
      <rgbColor rgb="FF000080"/>
      <rgbColor rgb="FF8FBC8F"/>
      <rgbColor rgb="FF800080"/>
      <rgbColor rgb="FF00B050"/>
      <rgbColor rgb="FFC0C0C0"/>
      <rgbColor rgb="FF808080"/>
      <rgbColor rgb="FFB0C4DE"/>
      <rgbColor rgb="FFB16C81"/>
      <rgbColor rgb="FFFFFFCC"/>
      <rgbColor rgb="FFCCFFFF"/>
      <rgbColor rgb="FFECECEC"/>
      <rgbColor rgb="FFFF8080"/>
      <rgbColor rgb="FF0066CC"/>
      <rgbColor rgb="FFCCCCFF"/>
      <rgbColor rgb="FF000080"/>
      <rgbColor rgb="FFFF66FF"/>
      <rgbColor rgb="FFFFD700"/>
      <rgbColor rgb="FFDAE3F3"/>
      <rgbColor rgb="FFE7E6E6"/>
      <rgbColor rgb="FFF2F2F2"/>
      <rgbColor rgb="FFD8BFD8"/>
      <rgbColor rgb="FFF5F5F5"/>
      <rgbColor rgb="FFBFBFBF"/>
      <rgbColor rgb="FFE2F0D9"/>
      <rgbColor rgb="FFCCFFCC"/>
      <rgbColor rgb="FFFFFF99"/>
      <rgbColor rgb="FF99CCFF"/>
      <rgbColor rgb="FFFF99CC"/>
      <rgbColor rgb="FFCC99FF"/>
      <rgbColor rgb="FFFFCC99"/>
      <rgbColor rgb="FF2F5597"/>
      <rgbColor rgb="FF33CCCC"/>
      <rgbColor rgb="FF92D050"/>
      <rgbColor rgb="FFFFCC00"/>
      <rgbColor rgb="FFFF9900"/>
      <rgbColor rgb="FFFF6600"/>
      <rgbColor rgb="FF4A84C2"/>
      <rgbColor rgb="FF969696"/>
      <rgbColor rgb="FF003366"/>
      <rgbColor rgb="FF339966"/>
      <rgbColor rgb="FF120000"/>
      <rgbColor rgb="FFFFC000"/>
      <rgbColor rgb="FF993300"/>
      <rgbColor rgb="FFCB9DAB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FD700"/>
      <color rgb="FF4A8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336240</xdr:colOff>
      <xdr:row>61</xdr:row>
      <xdr:rowOff>33480</xdr:rowOff>
    </xdr:from>
    <xdr:to>
      <xdr:col>33</xdr:col>
      <xdr:colOff>65878</xdr:colOff>
      <xdr:row>72</xdr:row>
      <xdr:rowOff>21600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853280" y="10671480"/>
          <a:ext cx="6230880" cy="227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336240</xdr:colOff>
      <xdr:row>47</xdr:row>
      <xdr:rowOff>33480</xdr:rowOff>
    </xdr:from>
    <xdr:to>
      <xdr:col>20</xdr:col>
      <xdr:colOff>66240</xdr:colOff>
      <xdr:row>59</xdr:row>
      <xdr:rowOff>21600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711360" y="9034560"/>
          <a:ext cx="6230880" cy="2274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AFD7-5255-4E5C-A992-95F297BDCC59}">
  <sheetPr>
    <pageSetUpPr fitToPage="1"/>
  </sheetPr>
  <dimension ref="A1:P254"/>
  <sheetViews>
    <sheetView tabSelected="1" topLeftCell="D1" zoomScaleNormal="100" workbookViewId="0">
      <selection activeCell="P16" sqref="M16:P16"/>
    </sheetView>
  </sheetViews>
  <sheetFormatPr defaultRowHeight="15" x14ac:dyDescent="0.25"/>
  <cols>
    <col min="1" max="1" width="2.42578125" customWidth="1"/>
    <col min="2" max="2" width="13.42578125" style="3" bestFit="1" customWidth="1"/>
    <col min="3" max="3" width="17.28515625" style="3" customWidth="1"/>
    <col min="4" max="4" width="97.5703125" customWidth="1"/>
    <col min="5" max="5" width="26.140625" customWidth="1"/>
    <col min="6" max="7" width="21.28515625" hidden="1" customWidth="1"/>
    <col min="8" max="8" width="24.42578125" customWidth="1"/>
    <col min="9" max="9" width="24.42578125" hidden="1" customWidth="1"/>
    <col min="10" max="10" width="25" customWidth="1"/>
    <col min="11" max="11" width="16.7109375" customWidth="1"/>
    <col min="12" max="12" width="25.42578125" style="3" customWidth="1"/>
    <col min="13" max="13" width="16.7109375" style="3" customWidth="1"/>
    <col min="14" max="14" width="30.85546875" style="3" customWidth="1"/>
    <col min="15" max="15" width="22.28515625" style="3" customWidth="1"/>
    <col min="16" max="16" width="16.7109375" style="3" customWidth="1"/>
  </cols>
  <sheetData>
    <row r="1" spans="1:16" ht="21" x14ac:dyDescent="0.35">
      <c r="A1" s="744" t="s">
        <v>1087</v>
      </c>
      <c r="B1" s="744"/>
      <c r="C1" s="744"/>
      <c r="D1" s="744"/>
      <c r="E1" s="5"/>
      <c r="F1" s="5"/>
      <c r="G1" s="5"/>
      <c r="H1" s="5"/>
      <c r="I1" s="5"/>
    </row>
    <row r="2" spans="1:16" ht="56.25" x14ac:dyDescent="0.3">
      <c r="B2" s="6"/>
      <c r="C2" s="524"/>
      <c r="D2" s="525"/>
      <c r="E2" s="526" t="s">
        <v>1087</v>
      </c>
      <c r="F2" s="526" t="s">
        <v>1146</v>
      </c>
      <c r="G2" s="670" t="s">
        <v>1152</v>
      </c>
      <c r="H2" s="526" t="s">
        <v>1147</v>
      </c>
      <c r="I2" s="526" t="s">
        <v>1148</v>
      </c>
    </row>
    <row r="3" spans="1:16" ht="18.75" x14ac:dyDescent="0.3">
      <c r="A3" s="8" t="s">
        <v>6</v>
      </c>
      <c r="B3" s="8"/>
      <c r="C3" s="527"/>
      <c r="D3" s="528" t="s">
        <v>7</v>
      </c>
      <c r="E3" s="529" t="s">
        <v>8</v>
      </c>
      <c r="F3" s="529" t="s">
        <v>8</v>
      </c>
      <c r="G3" s="529"/>
      <c r="H3" s="529" t="s">
        <v>8</v>
      </c>
      <c r="I3" s="529" t="s">
        <v>8</v>
      </c>
      <c r="L3" s="488" t="s">
        <v>1100</v>
      </c>
      <c r="M3" s="488" t="s">
        <v>1100</v>
      </c>
      <c r="O3" s="488" t="s">
        <v>1101</v>
      </c>
      <c r="P3" s="488" t="s">
        <v>1101</v>
      </c>
    </row>
    <row r="4" spans="1:16" ht="18.75" x14ac:dyDescent="0.3">
      <c r="A4" s="12" t="s">
        <v>9</v>
      </c>
      <c r="B4" s="527" t="s">
        <v>10</v>
      </c>
      <c r="C4" s="527" t="s">
        <v>11</v>
      </c>
      <c r="D4" s="530" t="s">
        <v>12</v>
      </c>
      <c r="E4" s="531"/>
      <c r="F4" s="531"/>
      <c r="G4" s="532"/>
      <c r="H4" s="532"/>
      <c r="I4" s="532"/>
      <c r="L4" s="489" t="s">
        <v>1087</v>
      </c>
      <c r="M4" s="489" t="s">
        <v>1103</v>
      </c>
      <c r="O4" s="489" t="s">
        <v>1087</v>
      </c>
      <c r="P4" s="489" t="s">
        <v>1103</v>
      </c>
    </row>
    <row r="5" spans="1:16" ht="21" x14ac:dyDescent="0.35">
      <c r="A5" s="17" t="s">
        <v>14</v>
      </c>
      <c r="B5" s="18"/>
      <c r="C5" s="533"/>
      <c r="D5" s="534" t="s">
        <v>15</v>
      </c>
      <c r="E5" s="589">
        <f>E6+E90</f>
        <v>3509259.9484715941</v>
      </c>
      <c r="F5" s="589">
        <f t="shared" ref="F5" si="0">F6+F90</f>
        <v>3521714.3291437249</v>
      </c>
      <c r="G5" s="671">
        <f>G6+G87+G88+G89+G90</f>
        <v>1978369.3999999997</v>
      </c>
      <c r="H5" s="589">
        <f>H6+H90</f>
        <v>3253094.090442623</v>
      </c>
      <c r="I5" s="589">
        <f>+E5-H5</f>
        <v>256165.85802897112</v>
      </c>
      <c r="K5" s="35" t="s">
        <v>1098</v>
      </c>
      <c r="L5" s="490">
        <f>(E82/12*7)+E65+E64</f>
        <v>347362.78916666674</v>
      </c>
      <c r="M5" s="504">
        <f>L5/E5</f>
        <v>9.8984627604448455E-2</v>
      </c>
      <c r="O5" s="490">
        <f>E82+E65+E64</f>
        <v>504604.26000000007</v>
      </c>
      <c r="P5" s="504">
        <f>O5/E5</f>
        <v>0.14379221471460754</v>
      </c>
    </row>
    <row r="6" spans="1:16" ht="21" x14ac:dyDescent="0.35">
      <c r="A6" s="20" t="s">
        <v>16</v>
      </c>
      <c r="B6" s="21"/>
      <c r="C6" s="535"/>
      <c r="D6" s="536" t="s">
        <v>17</v>
      </c>
      <c r="E6" s="590">
        <f>E7+E45+E49+E53+E63+E65+E79+E82</f>
        <v>3270858.7584715942</v>
      </c>
      <c r="F6" s="590">
        <f t="shared" ref="F6" si="1">F7+F45+F49+F53+F63+F65+F79+F82</f>
        <v>3283313.1391437249</v>
      </c>
      <c r="G6" s="672">
        <f>G7+G45+G49+G53+G63+G65+G79+G82</f>
        <v>1902667.3899999997</v>
      </c>
      <c r="H6" s="590">
        <f>H7+H45+H49+H53+H63+H65+H79+H82</f>
        <v>3013495.9004426231</v>
      </c>
      <c r="I6" s="590">
        <f t="shared" ref="I6:I69" si="2">+E6-H6</f>
        <v>257362.85802897112</v>
      </c>
      <c r="J6" s="266">
        <f>+H6-G6</f>
        <v>1110828.5104426234</v>
      </c>
      <c r="K6" s="35" t="s">
        <v>1099</v>
      </c>
      <c r="L6" s="491">
        <f>E91-68000</f>
        <v>170401.18999999994</v>
      </c>
      <c r="O6" s="491">
        <f>E91-68000</f>
        <v>170401.18999999994</v>
      </c>
    </row>
    <row r="7" spans="1:16" ht="21" x14ac:dyDescent="0.35">
      <c r="A7" s="23" t="s">
        <v>18</v>
      </c>
      <c r="B7" s="24"/>
      <c r="C7" s="537"/>
      <c r="D7" s="538" t="s">
        <v>19</v>
      </c>
      <c r="E7" s="591">
        <f>E8+E10+E20+E35+E38+E43</f>
        <v>2083064.8158486427</v>
      </c>
      <c r="F7" s="591">
        <f t="shared" ref="F7" si="3">F8+F10+F20+F35+F38+F43</f>
        <v>2095514.1965207742</v>
      </c>
      <c r="G7" s="673">
        <f>G8+G10+G20+G35+G38+G43</f>
        <v>1411678.2999999998</v>
      </c>
      <c r="H7" s="591">
        <f>H8+H10+H20+H35+H38+H43</f>
        <v>1983891.7808196722</v>
      </c>
      <c r="I7" s="591">
        <f t="shared" si="2"/>
        <v>99173.035028970568</v>
      </c>
      <c r="J7" t="s">
        <v>847</v>
      </c>
      <c r="L7"/>
      <c r="O7"/>
    </row>
    <row r="8" spans="1:16" ht="21" x14ac:dyDescent="0.35">
      <c r="A8" s="26" t="s">
        <v>21</v>
      </c>
      <c r="B8" s="27"/>
      <c r="C8" s="539"/>
      <c r="D8" s="540" t="s">
        <v>22</v>
      </c>
      <c r="E8" s="592">
        <f>SUM(E9:E9)</f>
        <v>478430.75</v>
      </c>
      <c r="F8" s="592">
        <f t="shared" ref="F8" si="4">SUM(F9:F9)</f>
        <v>475430.74</v>
      </c>
      <c r="G8" s="674">
        <f>G9</f>
        <v>417928.4</v>
      </c>
      <c r="H8" s="592">
        <f>SUM(H9:H9)</f>
        <v>475430.74</v>
      </c>
      <c r="I8" s="592">
        <f t="shared" si="2"/>
        <v>3000.0100000000093</v>
      </c>
      <c r="K8" s="500" t="s">
        <v>1102</v>
      </c>
      <c r="L8" s="492">
        <f>L6+L5</f>
        <v>517763.97916666669</v>
      </c>
      <c r="M8" s="505">
        <f>L8/E5</f>
        <v>0.14754221310740206</v>
      </c>
      <c r="O8" s="492">
        <f>O6+O5</f>
        <v>675005.45</v>
      </c>
      <c r="P8" s="505">
        <f>O8/E5</f>
        <v>0.19234980021756112</v>
      </c>
    </row>
    <row r="9" spans="1:16" ht="21" x14ac:dyDescent="0.35">
      <c r="A9" s="32"/>
      <c r="B9" s="741" t="s">
        <v>32</v>
      </c>
      <c r="C9" s="524" t="s">
        <v>28</v>
      </c>
      <c r="D9" s="541" t="s">
        <v>29</v>
      </c>
      <c r="E9" s="593">
        <v>478430.75</v>
      </c>
      <c r="F9" s="593">
        <v>475430.74</v>
      </c>
      <c r="G9" s="352">
        <f>251081.03+18436.44+5269.53+122342.63+17338.38+3460.39</f>
        <v>417928.4</v>
      </c>
      <c r="H9" s="593">
        <v>475430.74</v>
      </c>
      <c r="I9" s="593">
        <f t="shared" si="2"/>
        <v>3000.0100000000093</v>
      </c>
    </row>
    <row r="10" spans="1:16" ht="21" x14ac:dyDescent="0.35">
      <c r="A10" s="26" t="s">
        <v>36</v>
      </c>
      <c r="B10" s="27"/>
      <c r="C10" s="539"/>
      <c r="D10" s="540" t="s">
        <v>37</v>
      </c>
      <c r="E10" s="592">
        <f>E11+E13+E18</f>
        <v>526698.62100000004</v>
      </c>
      <c r="F10" s="592">
        <f t="shared" ref="F10" si="5">F11+F13+F18</f>
        <v>526863.37167213112</v>
      </c>
      <c r="G10" s="674">
        <f>G11+G13+G18</f>
        <v>99849.71</v>
      </c>
      <c r="H10" s="592">
        <f>H11+H13+H18</f>
        <v>453802.5</v>
      </c>
      <c r="I10" s="592">
        <f t="shared" si="2"/>
        <v>72896.121000000043</v>
      </c>
    </row>
    <row r="11" spans="1:16" ht="21" x14ac:dyDescent="0.35">
      <c r="A11" s="39" t="s">
        <v>40</v>
      </c>
      <c r="B11" s="40"/>
      <c r="C11" s="542"/>
      <c r="D11" s="543" t="s">
        <v>41</v>
      </c>
      <c r="E11" s="594">
        <f>E12</f>
        <v>163934.43</v>
      </c>
      <c r="F11" s="594">
        <f t="shared" ref="F11" si="6">F12</f>
        <v>163935.43</v>
      </c>
      <c r="G11" s="126">
        <f t="shared" ref="G11" si="7">SUM(G12)</f>
        <v>0</v>
      </c>
      <c r="H11" s="594">
        <f>H12</f>
        <v>0</v>
      </c>
      <c r="I11" s="594">
        <f t="shared" si="2"/>
        <v>163934.43</v>
      </c>
      <c r="O11" s="488" t="s">
        <v>1101</v>
      </c>
      <c r="P11" s="488" t="s">
        <v>1101</v>
      </c>
    </row>
    <row r="12" spans="1:16" ht="21" x14ac:dyDescent="0.35">
      <c r="A12" s="32"/>
      <c r="B12" s="741" t="s">
        <v>42</v>
      </c>
      <c r="C12" s="741" t="s">
        <v>1168</v>
      </c>
      <c r="D12" s="541" t="s">
        <v>1088</v>
      </c>
      <c r="E12" s="595">
        <v>163934.43</v>
      </c>
      <c r="F12" s="595">
        <v>163935.43</v>
      </c>
      <c r="G12" s="146"/>
      <c r="H12" s="595">
        <v>0</v>
      </c>
      <c r="I12" s="595">
        <f t="shared" si="2"/>
        <v>163934.43</v>
      </c>
      <c r="O12" s="489" t="s">
        <v>911</v>
      </c>
      <c r="P12" s="489" t="s">
        <v>1103</v>
      </c>
    </row>
    <row r="13" spans="1:16" ht="21" x14ac:dyDescent="0.35">
      <c r="A13" s="39" t="s">
        <v>45</v>
      </c>
      <c r="B13" s="40"/>
      <c r="C13" s="542"/>
      <c r="D13" s="543" t="s">
        <v>46</v>
      </c>
      <c r="E13" s="596">
        <f>SUM(E14:E17)</f>
        <v>189813.37100000001</v>
      </c>
      <c r="F13" s="596">
        <f t="shared" ref="F13" si="8">SUM(F14:F17)</f>
        <v>239977.122</v>
      </c>
      <c r="G13" s="129">
        <f>SUM(G14:G17)</f>
        <v>0</v>
      </c>
      <c r="H13" s="596">
        <f>SUM(H14:H17)</f>
        <v>210178.25</v>
      </c>
      <c r="I13" s="596">
        <f t="shared" si="2"/>
        <v>-20364.878999999986</v>
      </c>
      <c r="M13" s="29"/>
      <c r="N13" s="494" t="s">
        <v>1098</v>
      </c>
      <c r="O13" s="490">
        <f>H82+H65+H64</f>
        <v>442174.05</v>
      </c>
      <c r="P13" s="504">
        <f>O13/F5</f>
        <v>0.12555647865609557</v>
      </c>
    </row>
    <row r="14" spans="1:16" ht="21" x14ac:dyDescent="0.35">
      <c r="A14" s="32"/>
      <c r="B14" s="741" t="s">
        <v>42</v>
      </c>
      <c r="C14" s="524" t="s">
        <v>727</v>
      </c>
      <c r="D14" s="541" t="s">
        <v>728</v>
      </c>
      <c r="E14" s="595">
        <f t="shared" ref="E14:E15" si="9">-E147*1.1</f>
        <v>101645.34600000001</v>
      </c>
      <c r="F14" s="595">
        <f t="shared" ref="F14" si="10">-F147*1.1</f>
        <v>151809.09700000001</v>
      </c>
      <c r="G14" s="240"/>
      <c r="H14" s="595">
        <v>62288.75</v>
      </c>
      <c r="I14" s="595">
        <f t="shared" si="2"/>
        <v>39356.596000000005</v>
      </c>
      <c r="M14" s="493"/>
      <c r="N14" s="495" t="s">
        <v>1099</v>
      </c>
      <c r="O14" s="491">
        <f>H91-68000</f>
        <v>170401.18999999994</v>
      </c>
      <c r="P14" s="503"/>
    </row>
    <row r="15" spans="1:16" ht="21" x14ac:dyDescent="0.35">
      <c r="A15" s="32"/>
      <c r="B15" s="741" t="s">
        <v>42</v>
      </c>
      <c r="C15" s="524" t="s">
        <v>43</v>
      </c>
      <c r="D15" s="541" t="s">
        <v>44</v>
      </c>
      <c r="E15" s="595">
        <f t="shared" si="9"/>
        <v>75384.430000000008</v>
      </c>
      <c r="F15" s="595">
        <f t="shared" ref="F15" si="11">-F148*1.1</f>
        <v>75384.430000000008</v>
      </c>
      <c r="G15" s="240"/>
      <c r="H15" s="595">
        <f t="shared" ref="H15" si="12">-H148*1.1</f>
        <v>88550</v>
      </c>
      <c r="I15" s="595">
        <f t="shared" si="2"/>
        <v>-13165.569999999992</v>
      </c>
      <c r="N15" s="297"/>
      <c r="O15"/>
      <c r="P15" s="503"/>
    </row>
    <row r="16" spans="1:16" ht="21" x14ac:dyDescent="0.35">
      <c r="A16" s="32"/>
      <c r="B16" s="741" t="s">
        <v>42</v>
      </c>
      <c r="C16" s="524" t="s">
        <v>49</v>
      </c>
      <c r="D16" s="541" t="s">
        <v>50</v>
      </c>
      <c r="E16" s="595">
        <f>-E149*1.1</f>
        <v>9342.487000000001</v>
      </c>
      <c r="F16" s="595">
        <f t="shared" ref="F16" si="13">-F149*1.1</f>
        <v>9342.487000000001</v>
      </c>
      <c r="G16" s="240"/>
      <c r="H16" s="595">
        <v>58146</v>
      </c>
      <c r="I16" s="595">
        <f t="shared" si="2"/>
        <v>-48803.512999999999</v>
      </c>
      <c r="M16" s="502"/>
      <c r="N16" s="501" t="s">
        <v>1102</v>
      </c>
      <c r="O16" s="492">
        <f>O14+O13</f>
        <v>612575.24</v>
      </c>
      <c r="P16" s="762">
        <f>O16/F5</f>
        <v>0.17394234249231183</v>
      </c>
    </row>
    <row r="17" spans="1:16" ht="21" x14ac:dyDescent="0.35">
      <c r="A17" s="37"/>
      <c r="B17" s="741" t="s">
        <v>42</v>
      </c>
      <c r="C17" s="524" t="s">
        <v>52</v>
      </c>
      <c r="D17" s="544" t="s">
        <v>1097</v>
      </c>
      <c r="E17" s="595">
        <f>-E150*1.1</f>
        <v>3441.1080000000006</v>
      </c>
      <c r="F17" s="595">
        <f t="shared" ref="F17" si="14">-F150*1.1</f>
        <v>3441.1080000000006</v>
      </c>
      <c r="G17" s="240"/>
      <c r="H17" s="595">
        <f>-H150*1.1</f>
        <v>1193.5</v>
      </c>
      <c r="I17" s="595">
        <f t="shared" si="2"/>
        <v>2247.6080000000006</v>
      </c>
    </row>
    <row r="18" spans="1:16" ht="21" x14ac:dyDescent="0.35">
      <c r="A18" s="39" t="s">
        <v>57</v>
      </c>
      <c r="B18" s="40"/>
      <c r="C18" s="542"/>
      <c r="D18" s="543" t="s">
        <v>58</v>
      </c>
      <c r="E18" s="597">
        <f>E19</f>
        <v>172950.82</v>
      </c>
      <c r="F18" s="597">
        <f t="shared" ref="F18" si="15">F19</f>
        <v>122950.81967213115</v>
      </c>
      <c r="G18" s="675">
        <f>G19</f>
        <v>99849.71</v>
      </c>
      <c r="H18" s="597">
        <f>H19</f>
        <v>243624.25</v>
      </c>
      <c r="I18" s="597">
        <f t="shared" si="2"/>
        <v>-70673.429999999993</v>
      </c>
    </row>
    <row r="19" spans="1:16" ht="21" x14ac:dyDescent="0.35">
      <c r="A19" s="32"/>
      <c r="B19" s="741" t="s">
        <v>42</v>
      </c>
      <c r="C19" s="524" t="s">
        <v>62</v>
      </c>
      <c r="D19" s="541" t="s">
        <v>63</v>
      </c>
      <c r="E19" s="598">
        <v>172950.82</v>
      </c>
      <c r="F19" s="598">
        <f t="shared" ref="F19" si="16">150000/1.22</f>
        <v>122950.81967213115</v>
      </c>
      <c r="G19" s="146">
        <f>99849.71</f>
        <v>99849.71</v>
      </c>
      <c r="H19" s="595">
        <f>143774.54+99849.71</f>
        <v>243624.25</v>
      </c>
      <c r="I19" s="595">
        <f t="shared" si="2"/>
        <v>-70673.429999999993</v>
      </c>
      <c r="K19" s="745" t="s">
        <v>1105</v>
      </c>
      <c r="L19" s="746"/>
      <c r="M19" s="747"/>
      <c r="N19" s="748" t="s">
        <v>1155</v>
      </c>
      <c r="O19" s="748" t="s">
        <v>1156</v>
      </c>
    </row>
    <row r="20" spans="1:16" ht="21" x14ac:dyDescent="0.35">
      <c r="A20" s="26" t="s">
        <v>64</v>
      </c>
      <c r="B20" s="27"/>
      <c r="C20" s="539"/>
      <c r="D20" s="540" t="s">
        <v>65</v>
      </c>
      <c r="E20" s="592">
        <f>SUM(E21:E34)</f>
        <v>172114.18</v>
      </c>
      <c r="F20" s="592">
        <f t="shared" ref="F20" si="17">SUM(F21:F34)</f>
        <v>187396.82</v>
      </c>
      <c r="G20" s="38">
        <f>SUM(G21:G34)</f>
        <v>53159.839999999997</v>
      </c>
      <c r="H20" s="592">
        <f>SUM(H21:H34)</f>
        <v>156130.01</v>
      </c>
      <c r="I20" s="592">
        <f t="shared" si="2"/>
        <v>15984.169999999984</v>
      </c>
      <c r="K20" s="496"/>
      <c r="L20" s="489">
        <v>2024</v>
      </c>
      <c r="M20" s="489">
        <v>2025</v>
      </c>
      <c r="N20" s="749"/>
      <c r="O20" s="749"/>
    </row>
    <row r="21" spans="1:16" ht="21" x14ac:dyDescent="0.35">
      <c r="A21" s="44" t="s">
        <v>66</v>
      </c>
      <c r="B21" s="741" t="s">
        <v>67</v>
      </c>
      <c r="C21" s="524" t="s">
        <v>68</v>
      </c>
      <c r="D21" s="541" t="s">
        <v>69</v>
      </c>
      <c r="E21" s="598">
        <v>0</v>
      </c>
      <c r="F21" s="595">
        <v>0</v>
      </c>
      <c r="G21" s="354">
        <v>20250</v>
      </c>
      <c r="H21" s="595">
        <v>20250</v>
      </c>
      <c r="I21" s="595">
        <f t="shared" si="2"/>
        <v>-20250</v>
      </c>
      <c r="K21" s="35" t="s">
        <v>1104</v>
      </c>
      <c r="L21" s="498">
        <f>-F202/F5</f>
        <v>7.0625842062685185E-2</v>
      </c>
      <c r="M21" s="498">
        <f>-E202/E5</f>
        <v>7.6502320700672699E-2</v>
      </c>
      <c r="N21" s="738">
        <f>M21/L21</f>
        <v>1.083205785111514</v>
      </c>
      <c r="O21" s="739">
        <v>1.27</v>
      </c>
      <c r="P21" s="740" t="str">
        <f>IF(N21&lt;=1.27,"OK","NO")</f>
        <v>OK</v>
      </c>
    </row>
    <row r="22" spans="1:16" ht="21" x14ac:dyDescent="0.35">
      <c r="A22" s="44" t="s">
        <v>74</v>
      </c>
      <c r="B22" s="741" t="s">
        <v>67</v>
      </c>
      <c r="C22" s="524" t="s">
        <v>75</v>
      </c>
      <c r="D22" s="541" t="s">
        <v>76</v>
      </c>
      <c r="E22" s="595">
        <v>30000</v>
      </c>
      <c r="F22" s="595">
        <v>30000</v>
      </c>
      <c r="G22" s="352"/>
      <c r="H22" s="595">
        <v>35000</v>
      </c>
      <c r="I22" s="595">
        <f t="shared" si="2"/>
        <v>-5000</v>
      </c>
      <c r="K22" s="496"/>
      <c r="L22" s="497">
        <v>1</v>
      </c>
      <c r="M22" s="506">
        <f>M21/L21</f>
        <v>1.083205785111514</v>
      </c>
    </row>
    <row r="23" spans="1:16" ht="21" x14ac:dyDescent="0.35">
      <c r="A23" s="47" t="s">
        <v>80</v>
      </c>
      <c r="B23" s="741" t="s">
        <v>67</v>
      </c>
      <c r="C23" s="524" t="s">
        <v>81</v>
      </c>
      <c r="D23" s="541" t="s">
        <v>82</v>
      </c>
      <c r="E23" s="598">
        <v>0</v>
      </c>
      <c r="F23" s="598">
        <v>0</v>
      </c>
      <c r="H23" s="595">
        <v>0</v>
      </c>
      <c r="I23" s="595">
        <f t="shared" si="2"/>
        <v>0</v>
      </c>
      <c r="K23" s="496"/>
      <c r="L23" s="496"/>
      <c r="M23" s="496"/>
    </row>
    <row r="24" spans="1:16" ht="21" x14ac:dyDescent="0.35">
      <c r="A24" s="47"/>
      <c r="B24" s="741" t="s">
        <v>67</v>
      </c>
      <c r="C24" s="524" t="s">
        <v>97</v>
      </c>
      <c r="D24" s="544" t="s">
        <v>98</v>
      </c>
      <c r="E24" s="595">
        <f>35000-16435</f>
        <v>18565</v>
      </c>
      <c r="F24" s="595">
        <f t="shared" ref="F24" si="18">35000-16435</f>
        <v>18565</v>
      </c>
      <c r="G24" s="352"/>
      <c r="H24" s="595">
        <v>0</v>
      </c>
      <c r="I24" s="595">
        <f t="shared" si="2"/>
        <v>18565</v>
      </c>
      <c r="J24" s="70"/>
    </row>
    <row r="25" spans="1:16" ht="21" x14ac:dyDescent="0.35">
      <c r="A25" s="47"/>
      <c r="B25" s="741" t="s">
        <v>67</v>
      </c>
      <c r="C25" s="524" t="s">
        <v>102</v>
      </c>
      <c r="D25" s="544" t="s">
        <v>103</v>
      </c>
      <c r="E25" s="595">
        <v>14000</v>
      </c>
      <c r="F25" s="595">
        <v>14000</v>
      </c>
      <c r="G25" s="354"/>
      <c r="H25" s="595">
        <v>14000</v>
      </c>
      <c r="I25" s="595">
        <f t="shared" si="2"/>
        <v>0</v>
      </c>
    </row>
    <row r="26" spans="1:16" ht="21" x14ac:dyDescent="0.35">
      <c r="A26" s="47"/>
      <c r="B26" s="741" t="s">
        <v>67</v>
      </c>
      <c r="C26" s="524" t="s">
        <v>106</v>
      </c>
      <c r="D26" s="541" t="s">
        <v>107</v>
      </c>
      <c r="E26" s="595">
        <v>0</v>
      </c>
      <c r="F26" s="595">
        <v>0</v>
      </c>
      <c r="G26" s="352"/>
      <c r="H26" s="595">
        <v>17500</v>
      </c>
      <c r="I26" s="595">
        <f t="shared" si="2"/>
        <v>-17500</v>
      </c>
      <c r="J26" s="70"/>
    </row>
    <row r="27" spans="1:16" ht="21" x14ac:dyDescent="0.35">
      <c r="A27" s="47"/>
      <c r="B27" s="741" t="s">
        <v>67</v>
      </c>
      <c r="C27" s="524" t="s">
        <v>110</v>
      </c>
      <c r="D27" s="544" t="s">
        <v>111</v>
      </c>
      <c r="E27" s="595">
        <v>3280</v>
      </c>
      <c r="F27" s="595">
        <v>3280</v>
      </c>
      <c r="G27" s="354">
        <v>17500</v>
      </c>
      <c r="H27" s="595">
        <v>0</v>
      </c>
      <c r="I27" s="595">
        <f t="shared" si="2"/>
        <v>3280</v>
      </c>
    </row>
    <row r="28" spans="1:16" ht="21" x14ac:dyDescent="0.35">
      <c r="A28" s="47"/>
      <c r="B28" s="741" t="s">
        <v>67</v>
      </c>
      <c r="C28" s="524" t="s">
        <v>114</v>
      </c>
      <c r="D28" s="545" t="s">
        <v>115</v>
      </c>
      <c r="E28" s="598">
        <v>13000</v>
      </c>
      <c r="F28" s="598">
        <v>13000</v>
      </c>
      <c r="G28" s="352"/>
      <c r="H28" s="595">
        <f>29508.2+2459.02</f>
        <v>31967.22</v>
      </c>
      <c r="I28" s="595">
        <f t="shared" si="2"/>
        <v>-18967.22</v>
      </c>
    </row>
    <row r="29" spans="1:16" ht="21" x14ac:dyDescent="0.35">
      <c r="A29" s="47"/>
      <c r="B29" s="741" t="s">
        <v>67</v>
      </c>
      <c r="C29" s="524" t="s">
        <v>1157</v>
      </c>
      <c r="D29" s="550" t="s">
        <v>1169</v>
      </c>
      <c r="E29" s="599">
        <f>34000/2</f>
        <v>17000</v>
      </c>
      <c r="F29" s="599">
        <f t="shared" ref="F29" si="19">34000/2</f>
        <v>17000</v>
      </c>
      <c r="G29">
        <f>2459.02+8852.46</f>
        <v>11311.48</v>
      </c>
      <c r="H29" s="599"/>
      <c r="I29" s="599">
        <f t="shared" si="2"/>
        <v>17000</v>
      </c>
    </row>
    <row r="30" spans="1:16" ht="21" x14ac:dyDescent="0.35">
      <c r="A30" s="47"/>
      <c r="B30" s="741" t="s">
        <v>67</v>
      </c>
      <c r="C30" s="524" t="s">
        <v>884</v>
      </c>
      <c r="D30" s="541" t="s">
        <v>731</v>
      </c>
      <c r="E30" s="595">
        <f>32786.89-9836.07+4098.36</f>
        <v>27049.18</v>
      </c>
      <c r="F30" s="595">
        <f t="shared" ref="F30" si="20">32786.89-9836.07+4098.36</f>
        <v>27049.18</v>
      </c>
      <c r="G30" s="352"/>
      <c r="H30" s="595">
        <f>9836.07+8196.72</f>
        <v>18032.79</v>
      </c>
      <c r="I30" s="595">
        <f t="shared" si="2"/>
        <v>9016.39</v>
      </c>
    </row>
    <row r="31" spans="1:16" ht="21" x14ac:dyDescent="0.35">
      <c r="A31" s="47"/>
      <c r="B31" s="741" t="s">
        <v>67</v>
      </c>
      <c r="C31" s="524" t="s">
        <v>886</v>
      </c>
      <c r="D31" s="541" t="s">
        <v>733</v>
      </c>
      <c r="E31" s="595">
        <v>12250</v>
      </c>
      <c r="F31" s="595">
        <f>17500-G30</f>
        <v>17500</v>
      </c>
      <c r="G31" s="352">
        <v>4098.3599999999997</v>
      </c>
      <c r="H31" s="595">
        <f>17500*0.3</f>
        <v>5250</v>
      </c>
      <c r="I31" s="595">
        <f t="shared" si="2"/>
        <v>7000</v>
      </c>
    </row>
    <row r="32" spans="1:16" ht="21" x14ac:dyDescent="0.35">
      <c r="A32" s="47"/>
      <c r="B32" s="741" t="s">
        <v>67</v>
      </c>
      <c r="C32" s="524" t="s">
        <v>887</v>
      </c>
      <c r="D32" s="546" t="s">
        <v>1036</v>
      </c>
      <c r="E32" s="595">
        <v>22750</v>
      </c>
      <c r="F32" s="595">
        <f>32500-G31</f>
        <v>28401.64</v>
      </c>
      <c r="G32" s="354"/>
      <c r="H32" s="595">
        <f>32500*0.3</f>
        <v>9750</v>
      </c>
      <c r="I32" s="595">
        <f t="shared" si="2"/>
        <v>13000</v>
      </c>
    </row>
    <row r="33" spans="1:12" ht="21" x14ac:dyDescent="0.35">
      <c r="A33" s="47"/>
      <c r="B33" s="741" t="s">
        <v>67</v>
      </c>
      <c r="C33" s="524" t="s">
        <v>912</v>
      </c>
      <c r="D33" s="541" t="s">
        <v>1091</v>
      </c>
      <c r="E33" s="595">
        <v>4000</v>
      </c>
      <c r="F33" s="595">
        <v>4001</v>
      </c>
      <c r="G33" s="655"/>
      <c r="H33" s="595">
        <v>0</v>
      </c>
      <c r="I33" s="595">
        <f t="shared" si="2"/>
        <v>4000</v>
      </c>
    </row>
    <row r="34" spans="1:12" ht="21" x14ac:dyDescent="0.35">
      <c r="A34" s="47"/>
      <c r="B34" s="741" t="s">
        <v>67</v>
      </c>
      <c r="C34" s="524" t="s">
        <v>1089</v>
      </c>
      <c r="D34" s="541" t="s">
        <v>1090</v>
      </c>
      <c r="E34" s="595">
        <v>10220</v>
      </c>
      <c r="F34" s="595">
        <f>14600-G34</f>
        <v>14600</v>
      </c>
      <c r="G34" s="146"/>
      <c r="H34" s="595">
        <f>14600*0.3</f>
        <v>4380</v>
      </c>
      <c r="I34" s="595">
        <f t="shared" si="2"/>
        <v>5840</v>
      </c>
    </row>
    <row r="35" spans="1:12" ht="21" x14ac:dyDescent="0.35">
      <c r="A35" s="26" t="s">
        <v>118</v>
      </c>
      <c r="B35" s="27"/>
      <c r="C35" s="539"/>
      <c r="D35" s="540" t="s">
        <v>119</v>
      </c>
      <c r="E35" s="600">
        <f>SUM(E36:E37)</f>
        <v>305381.44484864268</v>
      </c>
      <c r="F35" s="600">
        <f t="shared" ref="F35" si="21">SUM(F36:F37)</f>
        <v>305382.44484864298</v>
      </c>
      <c r="G35" s="681">
        <f>G36+G37</f>
        <v>296305.63</v>
      </c>
      <c r="H35" s="600">
        <f>SUM(H36:H37)</f>
        <v>311094.78688524588</v>
      </c>
      <c r="I35" s="600">
        <f t="shared" si="2"/>
        <v>-5713.3420366031933</v>
      </c>
    </row>
    <row r="36" spans="1:12" ht="21" x14ac:dyDescent="0.35">
      <c r="A36" s="32" t="s">
        <v>122</v>
      </c>
      <c r="B36" s="741" t="s">
        <v>123</v>
      </c>
      <c r="C36" s="524" t="s">
        <v>124</v>
      </c>
      <c r="D36" s="541" t="s">
        <v>125</v>
      </c>
      <c r="E36" s="595">
        <v>294286.6608486427</v>
      </c>
      <c r="F36" s="595">
        <v>294287.66084864299</v>
      </c>
      <c r="G36" s="655">
        <f>226677.52+69628.11</f>
        <v>296305.63</v>
      </c>
      <c r="H36" s="598">
        <v>308000</v>
      </c>
      <c r="I36" s="595">
        <f t="shared" si="2"/>
        <v>-13713.339151357301</v>
      </c>
    </row>
    <row r="37" spans="1:12" ht="21" x14ac:dyDescent="0.35">
      <c r="A37" s="37" t="s">
        <v>128</v>
      </c>
      <c r="B37" s="741" t="s">
        <v>123</v>
      </c>
      <c r="C37" s="524" t="s">
        <v>130</v>
      </c>
      <c r="D37" s="544" t="s">
        <v>131</v>
      </c>
      <c r="E37" s="601">
        <f>3094.784+8000</f>
        <v>11094.784</v>
      </c>
      <c r="F37" s="601">
        <f t="shared" ref="F37" si="22">3094.784+8000</f>
        <v>11094.784</v>
      </c>
      <c r="G37" s="352"/>
      <c r="H37" s="601">
        <v>3094.7868852459014</v>
      </c>
      <c r="I37" s="601">
        <f t="shared" si="2"/>
        <v>7999.9971147540982</v>
      </c>
      <c r="J37" t="s">
        <v>1127</v>
      </c>
    </row>
    <row r="38" spans="1:12" ht="21" x14ac:dyDescent="0.35">
      <c r="A38" s="26" t="s">
        <v>134</v>
      </c>
      <c r="B38" s="27"/>
      <c r="C38" s="539"/>
      <c r="D38" s="540" t="s">
        <v>135</v>
      </c>
      <c r="E38" s="592">
        <f>SUM(E39:E42)</f>
        <v>274148.73</v>
      </c>
      <c r="F38" s="592">
        <f t="shared" ref="F38" si="23">SUM(F39:F42)</f>
        <v>274148.73</v>
      </c>
      <c r="G38" s="38">
        <f>SUM(G39:G42)</f>
        <v>218143.63</v>
      </c>
      <c r="H38" s="592">
        <f>SUM(H39:H42)</f>
        <v>261142.6539344262</v>
      </c>
      <c r="I38" s="592">
        <f t="shared" si="2"/>
        <v>13006.076065573783</v>
      </c>
    </row>
    <row r="39" spans="1:12" ht="21" x14ac:dyDescent="0.35">
      <c r="A39" s="37" t="s">
        <v>138</v>
      </c>
      <c r="B39" s="741" t="s">
        <v>139</v>
      </c>
      <c r="C39" s="524" t="s">
        <v>140</v>
      </c>
      <c r="D39" s="544" t="s">
        <v>1170</v>
      </c>
      <c r="E39" s="595">
        <f>199751.18+4000</f>
        <v>203751.18</v>
      </c>
      <c r="F39" s="595">
        <f t="shared" ref="F39" si="24">199751.18+4000</f>
        <v>203751.18</v>
      </c>
      <c r="G39" s="669">
        <f>12295.08+14109.37+9326.85+8266.81+163528.52</f>
        <v>207526.63</v>
      </c>
      <c r="H39" s="595">
        <v>207526.63196721309</v>
      </c>
      <c r="I39" s="595">
        <f t="shared" si="2"/>
        <v>-3775.4519672130991</v>
      </c>
      <c r="K39" s="499"/>
      <c r="L39" s="349"/>
    </row>
    <row r="40" spans="1:12" ht="21" x14ac:dyDescent="0.35">
      <c r="A40" s="32"/>
      <c r="B40" s="741" t="s">
        <v>139</v>
      </c>
      <c r="C40" s="524" t="s">
        <v>146</v>
      </c>
      <c r="D40" s="544" t="s">
        <v>1171</v>
      </c>
      <c r="E40" s="593">
        <v>25000</v>
      </c>
      <c r="F40" s="593">
        <v>25000</v>
      </c>
      <c r="G40" s="655"/>
      <c r="H40" s="593">
        <f>-H164</f>
        <v>27949</v>
      </c>
      <c r="I40" s="593">
        <f t="shared" si="2"/>
        <v>-2949</v>
      </c>
    </row>
    <row r="41" spans="1:12" ht="21" x14ac:dyDescent="0.35">
      <c r="A41" s="32"/>
      <c r="B41" s="741" t="s">
        <v>139</v>
      </c>
      <c r="C41" s="524" t="s">
        <v>148</v>
      </c>
      <c r="D41" s="544" t="s">
        <v>1172</v>
      </c>
      <c r="E41" s="602">
        <v>10602.47</v>
      </c>
      <c r="F41" s="602">
        <v>10602.47</v>
      </c>
      <c r="G41" s="655">
        <v>10617</v>
      </c>
      <c r="H41" s="602">
        <v>10602.47</v>
      </c>
      <c r="I41" s="602">
        <f t="shared" si="2"/>
        <v>0</v>
      </c>
    </row>
    <row r="42" spans="1:12" ht="21" x14ac:dyDescent="0.35">
      <c r="A42" s="32"/>
      <c r="B42" s="741" t="s">
        <v>139</v>
      </c>
      <c r="C42" s="524" t="s">
        <v>734</v>
      </c>
      <c r="D42" s="541" t="s">
        <v>1173</v>
      </c>
      <c r="E42" s="602">
        <f>12295.08+5000+2500+15000</f>
        <v>34795.08</v>
      </c>
      <c r="F42" s="602">
        <f t="shared" ref="F42" si="25">12295.08+5000+2500+15000</f>
        <v>34795.08</v>
      </c>
      <c r="G42" s="669"/>
      <c r="H42" s="602">
        <f>2769.47+(15000/1.22)</f>
        <v>15064.551967213114</v>
      </c>
      <c r="I42" s="602">
        <f t="shared" si="2"/>
        <v>19730.52803278689</v>
      </c>
      <c r="J42" s="499"/>
    </row>
    <row r="43" spans="1:12" ht="21" x14ac:dyDescent="0.35">
      <c r="A43" s="26" t="s">
        <v>150</v>
      </c>
      <c r="B43" s="27"/>
      <c r="C43" s="539"/>
      <c r="D43" s="540" t="s">
        <v>151</v>
      </c>
      <c r="E43" s="600">
        <f>E44</f>
        <v>326291.09000000003</v>
      </c>
      <c r="F43" s="600">
        <f t="shared" ref="F43" si="26">F44</f>
        <v>326292.09000000003</v>
      </c>
      <c r="G43" s="681">
        <f t="shared" ref="G43" si="27">G44</f>
        <v>326291.08999999997</v>
      </c>
      <c r="H43" s="600">
        <f>H44</f>
        <v>326291.09000000003</v>
      </c>
      <c r="I43" s="600">
        <f t="shared" si="2"/>
        <v>0</v>
      </c>
      <c r="J43" s="499"/>
    </row>
    <row r="44" spans="1:12" ht="21" x14ac:dyDescent="0.35">
      <c r="A44" s="32" t="s">
        <v>154</v>
      </c>
      <c r="B44" s="741" t="s">
        <v>155</v>
      </c>
      <c r="C44" s="524" t="s">
        <v>156</v>
      </c>
      <c r="D44" s="541" t="s">
        <v>157</v>
      </c>
      <c r="E44" s="595">
        <v>326291.09000000003</v>
      </c>
      <c r="F44" s="595">
        <v>326292.09000000003</v>
      </c>
      <c r="G44" s="669">
        <f>163145.55+163145.54</f>
        <v>326291.08999999997</v>
      </c>
      <c r="H44" s="595">
        <v>326291.09000000003</v>
      </c>
      <c r="I44" s="595">
        <f t="shared" si="2"/>
        <v>0</v>
      </c>
    </row>
    <row r="45" spans="1:12" ht="21" x14ac:dyDescent="0.35">
      <c r="A45" s="23" t="s">
        <v>158</v>
      </c>
      <c r="B45" s="24"/>
      <c r="C45" s="537"/>
      <c r="D45" s="538" t="s">
        <v>159</v>
      </c>
      <c r="E45" s="603">
        <f>SUM(E46:E48)</f>
        <v>49286.9</v>
      </c>
      <c r="F45" s="603">
        <f t="shared" ref="F45" si="28">SUM(F46:F48)</f>
        <v>49287.9</v>
      </c>
      <c r="G45" s="683">
        <f t="shared" ref="G45" si="29">G46+G47+G48</f>
        <v>0</v>
      </c>
      <c r="H45" s="603">
        <f>SUM(H46:H48)</f>
        <v>38165.845000000001</v>
      </c>
      <c r="I45" s="603">
        <f t="shared" si="2"/>
        <v>11121.055</v>
      </c>
    </row>
    <row r="46" spans="1:12" ht="21" x14ac:dyDescent="0.35">
      <c r="A46" s="32" t="s">
        <v>160</v>
      </c>
      <c r="B46" s="741" t="s">
        <v>161</v>
      </c>
      <c r="C46" s="524" t="s">
        <v>162</v>
      </c>
      <c r="D46" s="541" t="s">
        <v>163</v>
      </c>
      <c r="E46" s="595">
        <v>15419</v>
      </c>
      <c r="F46" s="595">
        <v>15420</v>
      </c>
      <c r="G46" s="654"/>
      <c r="H46" s="595">
        <v>15419</v>
      </c>
      <c r="I46" s="595">
        <f t="shared" si="2"/>
        <v>0</v>
      </c>
    </row>
    <row r="47" spans="1:12" ht="21" x14ac:dyDescent="0.35">
      <c r="A47" s="37" t="s">
        <v>164</v>
      </c>
      <c r="B47" s="741" t="s">
        <v>161</v>
      </c>
      <c r="C47" s="524" t="s">
        <v>165</v>
      </c>
      <c r="D47" s="544" t="s">
        <v>166</v>
      </c>
      <c r="E47" s="595">
        <f>-E169*1.1</f>
        <v>17367.900000000001</v>
      </c>
      <c r="F47" s="595">
        <f t="shared" ref="F47" si="30">-F169*1.1</f>
        <v>17367.900000000001</v>
      </c>
      <c r="G47" s="654"/>
      <c r="H47" s="595">
        <f>-H169*1.1</f>
        <v>15070.000000000002</v>
      </c>
      <c r="I47" s="595">
        <f t="shared" si="2"/>
        <v>2297.8999999999996</v>
      </c>
    </row>
    <row r="48" spans="1:12" ht="21" x14ac:dyDescent="0.35">
      <c r="A48" s="37"/>
      <c r="B48" s="741" t="s">
        <v>161</v>
      </c>
      <c r="C48" s="524" t="s">
        <v>167</v>
      </c>
      <c r="D48" s="544" t="s">
        <v>168</v>
      </c>
      <c r="E48" s="595">
        <f>-E170*1.1</f>
        <v>16500</v>
      </c>
      <c r="F48" s="595">
        <f t="shared" ref="F48" si="31">-F170*1.1</f>
        <v>16500</v>
      </c>
      <c r="G48" s="654"/>
      <c r="H48" s="595">
        <v>7676.8450000000003</v>
      </c>
      <c r="I48" s="595">
        <f t="shared" si="2"/>
        <v>8823.1549999999988</v>
      </c>
    </row>
    <row r="49" spans="1:9" ht="21" x14ac:dyDescent="0.35">
      <c r="A49" s="23" t="s">
        <v>169</v>
      </c>
      <c r="B49" s="24"/>
      <c r="C49" s="537"/>
      <c r="D49" s="538" t="s">
        <v>170</v>
      </c>
      <c r="E49" s="603">
        <f>SUM(E50:E52)</f>
        <v>189655.72</v>
      </c>
      <c r="F49" s="603">
        <f t="shared" ref="F49" si="32">SUM(F50:F52)</f>
        <v>189655.72</v>
      </c>
      <c r="G49" s="683">
        <f>SUM(G50:G52)</f>
        <v>142885.91999999998</v>
      </c>
      <c r="H49" s="603">
        <f>SUM(H50:H52)</f>
        <v>167196.08199999999</v>
      </c>
      <c r="I49" s="603">
        <f t="shared" si="2"/>
        <v>22459.638000000006</v>
      </c>
    </row>
    <row r="50" spans="1:9" ht="21" x14ac:dyDescent="0.35">
      <c r="A50" s="32" t="s">
        <v>171</v>
      </c>
      <c r="B50" s="741" t="s">
        <v>172</v>
      </c>
      <c r="C50" s="524" t="s">
        <v>173</v>
      </c>
      <c r="D50" s="541" t="s">
        <v>174</v>
      </c>
      <c r="E50" s="604">
        <v>64465.57</v>
      </c>
      <c r="F50" s="604">
        <v>64465.57</v>
      </c>
      <c r="G50" s="668">
        <f>30532.79+30532.78</f>
        <v>61065.57</v>
      </c>
      <c r="H50" s="604">
        <v>61065.57</v>
      </c>
      <c r="I50" s="604">
        <f t="shared" si="2"/>
        <v>3400</v>
      </c>
    </row>
    <row r="51" spans="1:9" ht="21" x14ac:dyDescent="0.35">
      <c r="A51" s="37" t="s">
        <v>175</v>
      </c>
      <c r="B51" s="741" t="s">
        <v>172</v>
      </c>
      <c r="C51" s="524" t="s">
        <v>176</v>
      </c>
      <c r="D51" s="544" t="s">
        <v>177</v>
      </c>
      <c r="E51" s="605">
        <v>25931.15</v>
      </c>
      <c r="F51" s="605">
        <v>25931.15</v>
      </c>
      <c r="G51" s="667">
        <f>12965.57+12965.58</f>
        <v>25931.15</v>
      </c>
      <c r="H51" s="605">
        <v>25931.15</v>
      </c>
      <c r="I51" s="605">
        <f t="shared" si="2"/>
        <v>0</v>
      </c>
    </row>
    <row r="52" spans="1:9" ht="21" x14ac:dyDescent="0.35">
      <c r="A52" s="32"/>
      <c r="B52" s="741" t="s">
        <v>172</v>
      </c>
      <c r="C52" s="524" t="s">
        <v>182</v>
      </c>
      <c r="D52" s="541" t="s">
        <v>183</v>
      </c>
      <c r="E52" s="595">
        <f>74190+25069</f>
        <v>99259</v>
      </c>
      <c r="F52" s="595">
        <f t="shared" ref="F52" si="33">74190+25069</f>
        <v>99259</v>
      </c>
      <c r="G52" s="654">
        <f>27945+27944.2</f>
        <v>55889.2</v>
      </c>
      <c r="H52" s="595">
        <v>80199.361999999994</v>
      </c>
      <c r="I52" s="595">
        <f t="shared" si="2"/>
        <v>19059.638000000006</v>
      </c>
    </row>
    <row r="53" spans="1:9" ht="21" x14ac:dyDescent="0.35">
      <c r="A53" s="67" t="s">
        <v>186</v>
      </c>
      <c r="B53" s="68"/>
      <c r="C53" s="547"/>
      <c r="D53" s="548" t="s">
        <v>187</v>
      </c>
      <c r="E53" s="603">
        <f>SUM(E54:E62)</f>
        <v>253619.62</v>
      </c>
      <c r="F53" s="603">
        <f t="shared" ref="F53" si="34">SUM(F54:F62)</f>
        <v>253619.62</v>
      </c>
      <c r="G53" s="683">
        <f>SUM(G54:G62)</f>
        <v>14344</v>
      </c>
      <c r="H53" s="603">
        <f>SUM(H54:H60)</f>
        <v>240537.7</v>
      </c>
      <c r="I53" s="603">
        <f t="shared" si="2"/>
        <v>13081.919999999984</v>
      </c>
    </row>
    <row r="54" spans="1:9" ht="21" x14ac:dyDescent="0.35">
      <c r="A54" s="37" t="s">
        <v>194</v>
      </c>
      <c r="B54" s="741" t="s">
        <v>190</v>
      </c>
      <c r="C54" s="524" t="s">
        <v>195</v>
      </c>
      <c r="D54" s="544" t="s">
        <v>196</v>
      </c>
      <c r="E54" s="595">
        <v>3601.97</v>
      </c>
      <c r="F54" s="595">
        <v>3601.97</v>
      </c>
      <c r="G54" s="655"/>
      <c r="H54" s="595">
        <v>3002</v>
      </c>
      <c r="I54" s="595">
        <f t="shared" si="2"/>
        <v>599.9699999999998</v>
      </c>
    </row>
    <row r="55" spans="1:9" ht="21" x14ac:dyDescent="0.35">
      <c r="A55" s="32" t="s">
        <v>199</v>
      </c>
      <c r="B55" s="741" t="s">
        <v>190</v>
      </c>
      <c r="C55" s="524" t="s">
        <v>200</v>
      </c>
      <c r="D55" s="541" t="s">
        <v>201</v>
      </c>
      <c r="E55" s="595">
        <v>9368.85</v>
      </c>
      <c r="F55" s="595">
        <v>9368.85</v>
      </c>
      <c r="G55" s="669"/>
      <c r="H55" s="595">
        <v>7808</v>
      </c>
      <c r="I55" s="595">
        <f t="shared" si="2"/>
        <v>1560.8500000000004</v>
      </c>
    </row>
    <row r="56" spans="1:9" ht="21" x14ac:dyDescent="0.35">
      <c r="A56" s="37" t="s">
        <v>204</v>
      </c>
      <c r="B56" s="741" t="s">
        <v>190</v>
      </c>
      <c r="C56" s="524" t="s">
        <v>205</v>
      </c>
      <c r="D56" s="544" t="s">
        <v>206</v>
      </c>
      <c r="E56" s="595">
        <v>6537.05</v>
      </c>
      <c r="F56" s="595">
        <v>6537.05</v>
      </c>
      <c r="G56" s="655"/>
      <c r="H56" s="595">
        <v>5448</v>
      </c>
      <c r="I56" s="595">
        <f t="shared" si="2"/>
        <v>1089.0500000000002</v>
      </c>
    </row>
    <row r="57" spans="1:9" ht="21" x14ac:dyDescent="0.35">
      <c r="A57" s="32" t="s">
        <v>208</v>
      </c>
      <c r="B57" s="741" t="s">
        <v>190</v>
      </c>
      <c r="C57" s="524" t="s">
        <v>209</v>
      </c>
      <c r="D57" s="541" t="s">
        <v>210</v>
      </c>
      <c r="E57" s="595">
        <v>26097.05</v>
      </c>
      <c r="F57" s="595">
        <v>26097.05</v>
      </c>
      <c r="G57" s="669"/>
      <c r="H57" s="595">
        <v>21747</v>
      </c>
      <c r="I57" s="595">
        <f t="shared" si="2"/>
        <v>4350.0499999999993</v>
      </c>
    </row>
    <row r="58" spans="1:9" ht="21" x14ac:dyDescent="0.35">
      <c r="A58" s="37" t="s">
        <v>211</v>
      </c>
      <c r="B58" s="741" t="s">
        <v>190</v>
      </c>
      <c r="C58" s="524" t="s">
        <v>212</v>
      </c>
      <c r="D58" s="544" t="s">
        <v>213</v>
      </c>
      <c r="E58" s="595">
        <v>88379</v>
      </c>
      <c r="F58" s="595">
        <v>88379</v>
      </c>
      <c r="G58" s="655"/>
      <c r="H58" s="595">
        <v>102723</v>
      </c>
      <c r="I58" s="595">
        <f t="shared" si="2"/>
        <v>-14344</v>
      </c>
    </row>
    <row r="59" spans="1:9" ht="21" x14ac:dyDescent="0.35">
      <c r="A59" s="37"/>
      <c r="B59" s="741" t="s">
        <v>190</v>
      </c>
      <c r="C59" s="524" t="s">
        <v>214</v>
      </c>
      <c r="D59" s="541" t="s">
        <v>215</v>
      </c>
      <c r="E59" s="595">
        <f>38000+5572</f>
        <v>43572</v>
      </c>
      <c r="F59" s="595">
        <f t="shared" ref="F59" si="35">38000+5572</f>
        <v>43572</v>
      </c>
      <c r="G59" s="669">
        <v>14344</v>
      </c>
      <c r="H59" s="595">
        <f>46000+5572</f>
        <v>51572</v>
      </c>
      <c r="I59" s="595">
        <f t="shared" si="2"/>
        <v>-8000</v>
      </c>
    </row>
    <row r="60" spans="1:9" ht="21" x14ac:dyDescent="0.35">
      <c r="A60" s="37"/>
      <c r="B60" s="741" t="s">
        <v>190</v>
      </c>
      <c r="C60" s="524" t="s">
        <v>216</v>
      </c>
      <c r="D60" s="541" t="s">
        <v>217</v>
      </c>
      <c r="E60" s="595">
        <v>48237.7</v>
      </c>
      <c r="F60" s="595">
        <v>48237.7</v>
      </c>
      <c r="G60" s="655"/>
      <c r="H60" s="595">
        <v>48237.7</v>
      </c>
      <c r="I60" s="595">
        <f t="shared" si="2"/>
        <v>0</v>
      </c>
    </row>
    <row r="61" spans="1:9" ht="21" x14ac:dyDescent="0.35">
      <c r="A61" s="37"/>
      <c r="B61" s="741" t="s">
        <v>190</v>
      </c>
      <c r="C61" s="524" t="s">
        <v>1123</v>
      </c>
      <c r="D61" s="541" t="s">
        <v>1125</v>
      </c>
      <c r="E61" s="606">
        <v>9016</v>
      </c>
      <c r="F61" s="606">
        <v>9016</v>
      </c>
      <c r="G61" s="655"/>
      <c r="H61" s="599"/>
      <c r="I61" s="599">
        <f t="shared" si="2"/>
        <v>9016</v>
      </c>
    </row>
    <row r="62" spans="1:9" ht="21" x14ac:dyDescent="0.35">
      <c r="A62" s="37"/>
      <c r="B62" s="741" t="s">
        <v>190</v>
      </c>
      <c r="C62" s="524" t="s">
        <v>1124</v>
      </c>
      <c r="D62" s="541" t="s">
        <v>1126</v>
      </c>
      <c r="E62" s="606">
        <v>18810</v>
      </c>
      <c r="F62" s="606">
        <v>18810</v>
      </c>
      <c r="G62" s="669"/>
      <c r="H62" s="599"/>
      <c r="I62" s="599">
        <f t="shared" si="2"/>
        <v>18810</v>
      </c>
    </row>
    <row r="63" spans="1:9" ht="21" x14ac:dyDescent="0.35">
      <c r="A63" s="23" t="s">
        <v>224</v>
      </c>
      <c r="B63" s="24"/>
      <c r="C63" s="537"/>
      <c r="D63" s="538" t="s">
        <v>225</v>
      </c>
      <c r="E63" s="603">
        <f>E64</f>
        <v>5570.33</v>
      </c>
      <c r="F63" s="603">
        <f t="shared" ref="F63" si="36">F64</f>
        <v>5571.33</v>
      </c>
      <c r="G63" s="683">
        <f t="shared" ref="G63" si="37">G64</f>
        <v>16262.29</v>
      </c>
      <c r="H63" s="603">
        <f>H64</f>
        <v>59734.259999999995</v>
      </c>
      <c r="I63" s="603">
        <f t="shared" si="2"/>
        <v>-54163.929999999993</v>
      </c>
    </row>
    <row r="64" spans="1:9" ht="21" x14ac:dyDescent="0.35">
      <c r="A64" s="37" t="s">
        <v>226</v>
      </c>
      <c r="B64" s="741" t="s">
        <v>227</v>
      </c>
      <c r="C64" s="524" t="s">
        <v>228</v>
      </c>
      <c r="D64" s="544" t="s">
        <v>229</v>
      </c>
      <c r="E64" s="595">
        <v>5570.33</v>
      </c>
      <c r="F64" s="595">
        <v>5571.33</v>
      </c>
      <c r="G64" s="669">
        <v>16262.29</v>
      </c>
      <c r="H64" s="595">
        <v>59734.259999999995</v>
      </c>
      <c r="I64" s="595">
        <f t="shared" si="2"/>
        <v>-54163.929999999993</v>
      </c>
    </row>
    <row r="65" spans="1:10" ht="21" x14ac:dyDescent="0.35">
      <c r="A65" s="23" t="s">
        <v>231</v>
      </c>
      <c r="B65" s="24"/>
      <c r="C65" s="537"/>
      <c r="D65" s="538" t="s">
        <v>232</v>
      </c>
      <c r="E65" s="603">
        <f>SUM(E66:E78)</f>
        <v>121654.39999999999</v>
      </c>
      <c r="F65" s="603">
        <f t="shared" ref="F65" si="38">SUM(F66:F78)</f>
        <v>121655.4</v>
      </c>
      <c r="G65" s="683">
        <f>SUM(G66:G78)</f>
        <v>5850</v>
      </c>
      <c r="H65" s="603">
        <f>SUM(H66:H78)</f>
        <v>75381.27</v>
      </c>
      <c r="I65" s="603">
        <f t="shared" si="2"/>
        <v>46273.12999999999</v>
      </c>
    </row>
    <row r="66" spans="1:10" ht="21" x14ac:dyDescent="0.35">
      <c r="A66" s="37" t="s">
        <v>233</v>
      </c>
      <c r="B66" s="741" t="s">
        <v>234</v>
      </c>
      <c r="C66" s="524" t="s">
        <v>235</v>
      </c>
      <c r="D66" s="541" t="s">
        <v>236</v>
      </c>
      <c r="E66" s="595">
        <v>4485.6000000000004</v>
      </c>
      <c r="F66" s="595">
        <v>4485.6000000000004</v>
      </c>
      <c r="G66" s="669"/>
      <c r="H66" s="595">
        <v>4200</v>
      </c>
      <c r="I66" s="595">
        <f t="shared" si="2"/>
        <v>285.60000000000036</v>
      </c>
    </row>
    <row r="67" spans="1:10" ht="21" x14ac:dyDescent="0.35">
      <c r="A67" s="32" t="s">
        <v>237</v>
      </c>
      <c r="B67" s="741" t="s">
        <v>234</v>
      </c>
      <c r="C67" s="524" t="s">
        <v>238</v>
      </c>
      <c r="D67" s="541" t="s">
        <v>736</v>
      </c>
      <c r="E67" s="595">
        <v>9546</v>
      </c>
      <c r="F67" s="595">
        <v>9546</v>
      </c>
      <c r="G67" s="655"/>
      <c r="H67" s="595">
        <v>9546</v>
      </c>
      <c r="I67" s="595">
        <f t="shared" si="2"/>
        <v>0</v>
      </c>
    </row>
    <row r="68" spans="1:10" ht="21" x14ac:dyDescent="0.35">
      <c r="A68" s="32" t="s">
        <v>240</v>
      </c>
      <c r="B68" s="741" t="s">
        <v>234</v>
      </c>
      <c r="C68" s="524" t="s">
        <v>241</v>
      </c>
      <c r="D68" s="541" t="s">
        <v>1050</v>
      </c>
      <c r="E68" s="595">
        <v>2500</v>
      </c>
      <c r="F68" s="595">
        <v>2500</v>
      </c>
      <c r="G68" s="669"/>
      <c r="H68" s="595">
        <v>2500</v>
      </c>
      <c r="I68" s="595">
        <f t="shared" si="2"/>
        <v>0</v>
      </c>
    </row>
    <row r="69" spans="1:10" ht="21" x14ac:dyDescent="0.35">
      <c r="A69" s="37" t="s">
        <v>246</v>
      </c>
      <c r="B69" s="741" t="s">
        <v>234</v>
      </c>
      <c r="C69" s="524" t="s">
        <v>247</v>
      </c>
      <c r="D69" s="541" t="s">
        <v>738</v>
      </c>
      <c r="E69" s="595">
        <f>600*1.068</f>
        <v>640.80000000000007</v>
      </c>
      <c r="F69" s="595">
        <f t="shared" ref="F69" si="39">600*1.068</f>
        <v>640.80000000000007</v>
      </c>
      <c r="G69" s="655"/>
      <c r="H69" s="595">
        <v>600</v>
      </c>
      <c r="I69" s="595">
        <f t="shared" si="2"/>
        <v>40.800000000000068</v>
      </c>
    </row>
    <row r="70" spans="1:10" ht="21" x14ac:dyDescent="0.35">
      <c r="A70" s="37"/>
      <c r="B70" s="741" t="s">
        <v>234</v>
      </c>
      <c r="C70" s="524" t="s">
        <v>253</v>
      </c>
      <c r="D70" s="541" t="s">
        <v>254</v>
      </c>
      <c r="E70" s="599">
        <v>0</v>
      </c>
      <c r="F70" s="599">
        <v>0</v>
      </c>
      <c r="G70" s="669"/>
      <c r="H70" s="599">
        <v>5000</v>
      </c>
      <c r="I70" s="599">
        <f t="shared" ref="I70:I133" si="40">+E70-H70</f>
        <v>-5000</v>
      </c>
    </row>
    <row r="71" spans="1:10" ht="21" x14ac:dyDescent="0.35">
      <c r="A71" s="32"/>
      <c r="B71" s="741" t="s">
        <v>234</v>
      </c>
      <c r="C71" s="524" t="s">
        <v>255</v>
      </c>
      <c r="D71" s="541" t="s">
        <v>256</v>
      </c>
      <c r="E71" s="595">
        <v>4122</v>
      </c>
      <c r="F71" s="595">
        <v>4122</v>
      </c>
      <c r="G71" s="669">
        <v>5000</v>
      </c>
      <c r="H71" s="595">
        <v>4122</v>
      </c>
      <c r="I71" s="595">
        <f t="shared" si="40"/>
        <v>0</v>
      </c>
    </row>
    <row r="72" spans="1:10" ht="21" x14ac:dyDescent="0.35">
      <c r="A72" s="32"/>
      <c r="B72" s="741" t="s">
        <v>234</v>
      </c>
      <c r="C72" s="524" t="s">
        <v>257</v>
      </c>
      <c r="D72" s="541" t="s">
        <v>258</v>
      </c>
      <c r="E72" s="595">
        <v>5145</v>
      </c>
      <c r="F72" s="595">
        <v>5145</v>
      </c>
      <c r="G72" s="655">
        <v>850</v>
      </c>
      <c r="H72" s="595">
        <v>5750</v>
      </c>
      <c r="I72" s="595">
        <f t="shared" si="40"/>
        <v>-605</v>
      </c>
    </row>
    <row r="73" spans="1:10" ht="21" x14ac:dyDescent="0.35">
      <c r="A73" s="32"/>
      <c r="B73" s="741" t="s">
        <v>234</v>
      </c>
      <c r="C73" s="524" t="s">
        <v>261</v>
      </c>
      <c r="D73" s="541" t="s">
        <v>262</v>
      </c>
      <c r="E73" s="598">
        <f>6582.5+6582.5</f>
        <v>13165</v>
      </c>
      <c r="F73" s="598">
        <f t="shared" ref="F73" si="41">6582.5+6582.5</f>
        <v>13165</v>
      </c>
      <c r="G73" s="655"/>
      <c r="H73" s="598">
        <f>25513.77+3949.5</f>
        <v>29463.27</v>
      </c>
      <c r="I73" s="595">
        <f t="shared" si="40"/>
        <v>-16298.27</v>
      </c>
    </row>
    <row r="74" spans="1:10" ht="21" x14ac:dyDescent="0.35">
      <c r="A74" s="32"/>
      <c r="B74" s="741" t="s">
        <v>234</v>
      </c>
      <c r="C74" s="524" t="s">
        <v>263</v>
      </c>
      <c r="D74" s="541" t="s">
        <v>264</v>
      </c>
      <c r="E74" s="598">
        <f>9750+30000</f>
        <v>39750</v>
      </c>
      <c r="F74" s="598">
        <f t="shared" ref="F74" si="42">9750+30000</f>
        <v>39750</v>
      </c>
      <c r="G74" s="655"/>
      <c r="H74" s="598">
        <v>0</v>
      </c>
      <c r="I74" s="595">
        <f t="shared" si="40"/>
        <v>39750</v>
      </c>
      <c r="J74" t="s">
        <v>1128</v>
      </c>
    </row>
    <row r="75" spans="1:10" ht="21" x14ac:dyDescent="0.35">
      <c r="A75" s="32"/>
      <c r="B75" s="741" t="s">
        <v>234</v>
      </c>
      <c r="C75" s="524" t="s">
        <v>265</v>
      </c>
      <c r="D75" s="541" t="s">
        <v>266</v>
      </c>
      <c r="E75" s="595">
        <v>20000</v>
      </c>
      <c r="F75" s="595">
        <v>20000</v>
      </c>
      <c r="G75" s="655"/>
      <c r="H75" s="595">
        <v>0</v>
      </c>
      <c r="I75" s="595">
        <f t="shared" si="40"/>
        <v>20000</v>
      </c>
    </row>
    <row r="76" spans="1:10" ht="21" x14ac:dyDescent="0.35">
      <c r="A76" s="32"/>
      <c r="B76" s="741" t="s">
        <v>234</v>
      </c>
      <c r="C76" s="524" t="s">
        <v>1037</v>
      </c>
      <c r="D76" s="541" t="s">
        <v>1093</v>
      </c>
      <c r="E76" s="595">
        <v>5300</v>
      </c>
      <c r="F76" s="595">
        <v>5300</v>
      </c>
      <c r="G76" s="655"/>
      <c r="H76" s="595">
        <v>2000</v>
      </c>
      <c r="I76" s="595">
        <f t="shared" si="40"/>
        <v>3300</v>
      </c>
    </row>
    <row r="77" spans="1:10" ht="21" x14ac:dyDescent="0.35">
      <c r="A77" s="32"/>
      <c r="B77" s="741" t="s">
        <v>234</v>
      </c>
      <c r="C77" s="524" t="s">
        <v>1051</v>
      </c>
      <c r="D77" s="541" t="s">
        <v>1092</v>
      </c>
      <c r="E77" s="595">
        <f>1000+4500</f>
        <v>5500</v>
      </c>
      <c r="F77" s="595">
        <f t="shared" ref="F77" si="43">1000+4500</f>
        <v>5500</v>
      </c>
      <c r="G77" s="655"/>
      <c r="H77" s="595">
        <v>2000</v>
      </c>
      <c r="I77" s="595">
        <f t="shared" si="40"/>
        <v>3500</v>
      </c>
    </row>
    <row r="78" spans="1:10" ht="21" x14ac:dyDescent="0.35">
      <c r="A78" s="32"/>
      <c r="B78" s="741" t="s">
        <v>234</v>
      </c>
      <c r="C78" s="524" t="s">
        <v>1094</v>
      </c>
      <c r="D78" s="541" t="s">
        <v>1095</v>
      </c>
      <c r="E78" s="595">
        <v>11500</v>
      </c>
      <c r="F78" s="595">
        <v>11501</v>
      </c>
      <c r="G78" s="655"/>
      <c r="H78" s="595">
        <v>10200</v>
      </c>
      <c r="I78" s="595">
        <f t="shared" si="40"/>
        <v>1300</v>
      </c>
    </row>
    <row r="79" spans="1:10" ht="21" x14ac:dyDescent="0.35">
      <c r="A79" s="23" t="s">
        <v>740</v>
      </c>
      <c r="B79" s="24"/>
      <c r="C79" s="537"/>
      <c r="D79" s="538" t="s">
        <v>741</v>
      </c>
      <c r="E79" s="603">
        <f>SUM(E80:E81)</f>
        <v>190627.44262295082</v>
      </c>
      <c r="F79" s="603">
        <f t="shared" ref="F79" si="44">SUM(F80:F81)</f>
        <v>190628.4426229508</v>
      </c>
      <c r="G79" s="61">
        <f>SUM(G80:G81)</f>
        <v>133137</v>
      </c>
      <c r="H79" s="603">
        <f>SUM(H80:H81)</f>
        <v>141530.44262295082</v>
      </c>
      <c r="I79" s="603">
        <f t="shared" si="40"/>
        <v>49097</v>
      </c>
    </row>
    <row r="80" spans="1:10" ht="21" x14ac:dyDescent="0.35">
      <c r="A80" s="37"/>
      <c r="B80" s="741" t="s">
        <v>1158</v>
      </c>
      <c r="C80" s="524" t="s">
        <v>714</v>
      </c>
      <c r="D80" s="541" t="s">
        <v>1174</v>
      </c>
      <c r="E80" s="595">
        <f>170000+4234</f>
        <v>174234</v>
      </c>
      <c r="F80" s="595">
        <f t="shared" ref="F80" si="45">170000+4234</f>
        <v>174234</v>
      </c>
      <c r="G80" s="654">
        <v>133137</v>
      </c>
      <c r="H80" s="595">
        <v>133137</v>
      </c>
      <c r="I80" s="595">
        <f t="shared" si="40"/>
        <v>41097</v>
      </c>
    </row>
    <row r="81" spans="1:10" ht="21" x14ac:dyDescent="0.35">
      <c r="A81" s="32"/>
      <c r="B81" s="741" t="s">
        <v>1158</v>
      </c>
      <c r="C81" s="524" t="s">
        <v>920</v>
      </c>
      <c r="D81" s="541" t="s">
        <v>919</v>
      </c>
      <c r="E81" s="595">
        <v>16393.442622950821</v>
      </c>
      <c r="F81" s="595">
        <v>16394.442622950799</v>
      </c>
      <c r="G81" s="654"/>
      <c r="H81" s="595">
        <v>8393.4426229508208</v>
      </c>
      <c r="I81" s="595">
        <f t="shared" si="40"/>
        <v>8000</v>
      </c>
    </row>
    <row r="82" spans="1:10" ht="21" x14ac:dyDescent="0.35">
      <c r="A82" s="23" t="s">
        <v>742</v>
      </c>
      <c r="B82" s="24"/>
      <c r="C82" s="537"/>
      <c r="D82" s="538" t="s">
        <v>743</v>
      </c>
      <c r="E82" s="607">
        <f>SUM(E83:E86)</f>
        <v>377379.53</v>
      </c>
      <c r="F82" s="607">
        <f t="shared" ref="F82" si="46">SUM(F83:F86)</f>
        <v>377380.53</v>
      </c>
      <c r="G82" s="61">
        <f>SUM(G83:G86)</f>
        <v>178509.88</v>
      </c>
      <c r="H82" s="607">
        <f>SUM(H83:H86)</f>
        <v>307058.51999999996</v>
      </c>
      <c r="I82" s="607">
        <f t="shared" si="40"/>
        <v>70321.010000000068</v>
      </c>
    </row>
    <row r="83" spans="1:10" ht="21" x14ac:dyDescent="0.35">
      <c r="A83" s="37"/>
      <c r="B83" s="741" t="s">
        <v>1159</v>
      </c>
      <c r="C83" s="524" t="s">
        <v>888</v>
      </c>
      <c r="D83" s="541" t="s">
        <v>744</v>
      </c>
      <c r="E83" s="595">
        <v>270000</v>
      </c>
      <c r="F83" s="595">
        <v>270001</v>
      </c>
      <c r="G83" s="655">
        <f>22500+22500+22500+1.29+701.69+67.24+22500+543.09+22500+22500+420+793.32</f>
        <v>137526.63</v>
      </c>
      <c r="H83" s="595">
        <v>225000</v>
      </c>
      <c r="I83" s="595">
        <f t="shared" si="40"/>
        <v>45000</v>
      </c>
    </row>
    <row r="84" spans="1:10" ht="21" x14ac:dyDescent="0.35">
      <c r="A84" s="37"/>
      <c r="B84" s="741" t="s">
        <v>1159</v>
      </c>
      <c r="C84" s="524" t="s">
        <v>889</v>
      </c>
      <c r="D84" s="541" t="s">
        <v>745</v>
      </c>
      <c r="E84" s="595">
        <f>31500.86+25878.67</f>
        <v>57379.53</v>
      </c>
      <c r="F84" s="595">
        <f t="shared" ref="F84" si="47">31500.86+25878.67</f>
        <v>57379.53</v>
      </c>
      <c r="G84" s="669">
        <f>7461.88+5566.02+108.7+5596.41+4174.52+90+147.66</f>
        <v>23145.190000000002</v>
      </c>
      <c r="H84" s="595">
        <v>32768.46</v>
      </c>
      <c r="I84" s="595">
        <f t="shared" si="40"/>
        <v>24611.07</v>
      </c>
      <c r="J84" s="486"/>
    </row>
    <row r="85" spans="1:10" ht="21" x14ac:dyDescent="0.35">
      <c r="A85" s="32"/>
      <c r="B85" s="741" t="s">
        <v>1159</v>
      </c>
      <c r="C85" s="524" t="s">
        <v>890</v>
      </c>
      <c r="D85" s="541" t="s">
        <v>903</v>
      </c>
      <c r="E85" s="595">
        <v>25000</v>
      </c>
      <c r="F85" s="595">
        <v>25000</v>
      </c>
      <c r="G85" s="655">
        <f>1326.32+40.74+1514.33+(3449.81-793.32)-196.64+3195</f>
        <v>8536.239999999998</v>
      </c>
      <c r="H85" s="608">
        <f>15289.02+15000</f>
        <v>30289.02</v>
      </c>
      <c r="I85" s="595">
        <f t="shared" si="40"/>
        <v>-5289.02</v>
      </c>
    </row>
    <row r="86" spans="1:10" ht="21" x14ac:dyDescent="0.35">
      <c r="A86" s="32"/>
      <c r="B86" s="741" t="s">
        <v>1159</v>
      </c>
      <c r="C86" s="524" t="s">
        <v>901</v>
      </c>
      <c r="D86" s="541" t="s">
        <v>904</v>
      </c>
      <c r="E86" s="595">
        <v>25000</v>
      </c>
      <c r="F86" s="595">
        <v>25000</v>
      </c>
      <c r="G86" s="669">
        <f>1170+440+3508.65+1419.35+4.5+1811.17+(225-90)+813.15</f>
        <v>9301.82</v>
      </c>
      <c r="H86" s="595">
        <v>19001.04</v>
      </c>
      <c r="I86" s="595">
        <f t="shared" si="40"/>
        <v>5998.9599999999991</v>
      </c>
    </row>
    <row r="87" spans="1:10" ht="21" x14ac:dyDescent="0.35">
      <c r="A87" s="20" t="s">
        <v>269</v>
      </c>
      <c r="B87" s="21"/>
      <c r="C87" s="535"/>
      <c r="D87" s="536" t="s">
        <v>670</v>
      </c>
      <c r="E87" s="609">
        <v>0</v>
      </c>
      <c r="F87" s="609">
        <v>0</v>
      </c>
      <c r="G87" s="678">
        <v>0</v>
      </c>
      <c r="H87" s="609">
        <v>0</v>
      </c>
      <c r="I87" s="609">
        <f t="shared" si="40"/>
        <v>0</v>
      </c>
    </row>
    <row r="88" spans="1:10" ht="21" x14ac:dyDescent="0.35">
      <c r="A88" s="20" t="s">
        <v>271</v>
      </c>
      <c r="B88" s="21"/>
      <c r="C88" s="535"/>
      <c r="D88" s="536" t="s">
        <v>272</v>
      </c>
      <c r="E88" s="609">
        <v>0</v>
      </c>
      <c r="F88" s="609">
        <v>0</v>
      </c>
      <c r="G88" s="678">
        <v>0</v>
      </c>
      <c r="H88" s="609">
        <v>0</v>
      </c>
      <c r="I88" s="609">
        <f t="shared" si="40"/>
        <v>0</v>
      </c>
    </row>
    <row r="89" spans="1:10" ht="21" x14ac:dyDescent="0.35">
      <c r="A89" s="20" t="s">
        <v>273</v>
      </c>
      <c r="B89" s="21"/>
      <c r="C89" s="535"/>
      <c r="D89" s="536" t="s">
        <v>274</v>
      </c>
      <c r="E89" s="609">
        <v>0</v>
      </c>
      <c r="F89" s="609">
        <v>0</v>
      </c>
      <c r="G89" s="678">
        <v>0</v>
      </c>
      <c r="H89" s="609">
        <v>0</v>
      </c>
      <c r="I89" s="609">
        <f t="shared" si="40"/>
        <v>0</v>
      </c>
    </row>
    <row r="90" spans="1:10" ht="21" x14ac:dyDescent="0.35">
      <c r="A90" s="20" t="s">
        <v>275</v>
      </c>
      <c r="B90" s="21"/>
      <c r="C90" s="535"/>
      <c r="D90" s="536" t="s">
        <v>276</v>
      </c>
      <c r="E90" s="609">
        <f>E91+E101</f>
        <v>238401.18999999994</v>
      </c>
      <c r="F90" s="609">
        <f t="shared" ref="F90" si="48">F91+F101</f>
        <v>238401.18999999994</v>
      </c>
      <c r="G90" s="678">
        <f>G91+G101</f>
        <v>75702.009999999995</v>
      </c>
      <c r="H90" s="609">
        <f>H91+H101</f>
        <v>239598.18999999994</v>
      </c>
      <c r="I90" s="609">
        <f t="shared" si="40"/>
        <v>-1197</v>
      </c>
      <c r="J90" s="70">
        <f>+H90-G90</f>
        <v>163896.17999999993</v>
      </c>
    </row>
    <row r="91" spans="1:10" ht="21" x14ac:dyDescent="0.35">
      <c r="A91" s="23" t="s">
        <v>277</v>
      </c>
      <c r="B91" s="24"/>
      <c r="C91" s="537"/>
      <c r="D91" s="538" t="s">
        <v>278</v>
      </c>
      <c r="E91" s="603">
        <f>SUM(E92:E100)</f>
        <v>238401.18999999994</v>
      </c>
      <c r="F91" s="603">
        <f t="shared" ref="F91" si="49">SUM(F92:F100)</f>
        <v>238401.18999999994</v>
      </c>
      <c r="G91" s="683">
        <f>SUM(G92:G100)</f>
        <v>74505.009999999995</v>
      </c>
      <c r="H91" s="603">
        <f>SUM(H92:H100)</f>
        <v>238401.18999999994</v>
      </c>
      <c r="I91" s="603">
        <f t="shared" si="40"/>
        <v>0</v>
      </c>
      <c r="J91" s="297" t="s">
        <v>848</v>
      </c>
    </row>
    <row r="92" spans="1:10" ht="21" x14ac:dyDescent="0.35">
      <c r="A92" s="32" t="s">
        <v>279</v>
      </c>
      <c r="B92" s="741" t="s">
        <v>280</v>
      </c>
      <c r="C92" s="524" t="s">
        <v>281</v>
      </c>
      <c r="D92" s="541" t="s">
        <v>282</v>
      </c>
      <c r="E92" s="595">
        <v>46204.94</v>
      </c>
      <c r="F92" s="595">
        <v>46204.94</v>
      </c>
      <c r="G92" s="669">
        <v>12322.41</v>
      </c>
      <c r="H92" s="595">
        <v>46204.94</v>
      </c>
      <c r="I92" s="595">
        <f t="shared" si="40"/>
        <v>0</v>
      </c>
    </row>
    <row r="93" spans="1:10" ht="21" x14ac:dyDescent="0.35">
      <c r="A93" s="37" t="s">
        <v>283</v>
      </c>
      <c r="B93" s="741" t="s">
        <v>280</v>
      </c>
      <c r="C93" s="524" t="s">
        <v>284</v>
      </c>
      <c r="D93" s="544" t="s">
        <v>285</v>
      </c>
      <c r="E93" s="595">
        <v>50711.69</v>
      </c>
      <c r="F93" s="595">
        <v>50711.69</v>
      </c>
      <c r="G93" s="655">
        <v>62182.6</v>
      </c>
      <c r="H93" s="595">
        <v>50711.69</v>
      </c>
      <c r="I93" s="595">
        <f t="shared" si="40"/>
        <v>0</v>
      </c>
    </row>
    <row r="94" spans="1:10" ht="21" x14ac:dyDescent="0.35">
      <c r="A94" s="32" t="s">
        <v>286</v>
      </c>
      <c r="B94" s="741" t="s">
        <v>280</v>
      </c>
      <c r="C94" s="524" t="s">
        <v>287</v>
      </c>
      <c r="D94" s="541" t="s">
        <v>288</v>
      </c>
      <c r="E94" s="595">
        <v>50006.74</v>
      </c>
      <c r="F94" s="595">
        <v>50006.74</v>
      </c>
      <c r="G94" s="669"/>
      <c r="H94" s="595">
        <v>50006.74</v>
      </c>
      <c r="I94" s="595">
        <f t="shared" si="40"/>
        <v>0</v>
      </c>
    </row>
    <row r="95" spans="1:10" ht="21" x14ac:dyDescent="0.35">
      <c r="A95" s="37" t="s">
        <v>289</v>
      </c>
      <c r="B95" s="741" t="s">
        <v>280</v>
      </c>
      <c r="C95" s="524" t="s">
        <v>290</v>
      </c>
      <c r="D95" s="544" t="s">
        <v>291</v>
      </c>
      <c r="E95" s="610">
        <f>46527.67-3000</f>
        <v>43527.67</v>
      </c>
      <c r="F95" s="610">
        <f t="shared" ref="F95" si="50">46527.67-3000</f>
        <v>43527.67</v>
      </c>
      <c r="G95" s="655"/>
      <c r="H95" s="610">
        <f>46527.67-3000</f>
        <v>43527.67</v>
      </c>
      <c r="I95" s="610">
        <f t="shared" si="40"/>
        <v>0</v>
      </c>
    </row>
    <row r="96" spans="1:10" ht="21" x14ac:dyDescent="0.35">
      <c r="A96" s="32" t="s">
        <v>292</v>
      </c>
      <c r="B96" s="741" t="s">
        <v>280</v>
      </c>
      <c r="C96" s="524" t="s">
        <v>293</v>
      </c>
      <c r="D96" s="541" t="s">
        <v>294</v>
      </c>
      <c r="E96" s="595">
        <v>23358.09</v>
      </c>
      <c r="F96" s="595">
        <v>23358.09</v>
      </c>
      <c r="G96" s="669"/>
      <c r="H96" s="595">
        <v>23358.09</v>
      </c>
      <c r="I96" s="595">
        <f t="shared" si="40"/>
        <v>0</v>
      </c>
    </row>
    <row r="97" spans="1:11" ht="21" x14ac:dyDescent="0.35">
      <c r="A97" s="37" t="s">
        <v>295</v>
      </c>
      <c r="B97" s="741" t="s">
        <v>280</v>
      </c>
      <c r="C97" s="524" t="s">
        <v>296</v>
      </c>
      <c r="D97" s="544" t="s">
        <v>297</v>
      </c>
      <c r="E97" s="595">
        <v>9648.09</v>
      </c>
      <c r="F97" s="595">
        <v>9648.09</v>
      </c>
      <c r="G97" s="655"/>
      <c r="H97" s="595">
        <v>9648.09</v>
      </c>
      <c r="I97" s="595">
        <f t="shared" si="40"/>
        <v>0</v>
      </c>
    </row>
    <row r="98" spans="1:11" ht="21" x14ac:dyDescent="0.35">
      <c r="A98" s="32" t="s">
        <v>298</v>
      </c>
      <c r="B98" s="741" t="s">
        <v>280</v>
      </c>
      <c r="C98" s="524" t="s">
        <v>299</v>
      </c>
      <c r="D98" s="541" t="s">
        <v>300</v>
      </c>
      <c r="E98" s="595">
        <v>11669.11</v>
      </c>
      <c r="F98" s="595">
        <v>11669.11</v>
      </c>
      <c r="G98" s="669"/>
      <c r="H98" s="595">
        <v>11669.11</v>
      </c>
      <c r="I98" s="595">
        <f t="shared" si="40"/>
        <v>0</v>
      </c>
    </row>
    <row r="99" spans="1:11" ht="21" x14ac:dyDescent="0.35">
      <c r="A99" s="37" t="s">
        <v>301</v>
      </c>
      <c r="B99" s="741" t="s">
        <v>280</v>
      </c>
      <c r="C99" s="524" t="s">
        <v>302</v>
      </c>
      <c r="D99" s="544" t="s">
        <v>303</v>
      </c>
      <c r="E99" s="595">
        <v>3274.86</v>
      </c>
      <c r="F99" s="595">
        <v>3274.86</v>
      </c>
      <c r="G99" s="655"/>
      <c r="H99" s="595">
        <v>3274.86</v>
      </c>
      <c r="I99" s="595">
        <f t="shared" si="40"/>
        <v>0</v>
      </c>
    </row>
    <row r="100" spans="1:11" ht="21" x14ac:dyDescent="0.35">
      <c r="A100" s="32" t="s">
        <v>304</v>
      </c>
      <c r="B100" s="741" t="s">
        <v>280</v>
      </c>
      <c r="C100" s="524" t="s">
        <v>305</v>
      </c>
      <c r="D100" s="541" t="s">
        <v>306</v>
      </c>
      <c r="E100" s="595">
        <v>0</v>
      </c>
      <c r="F100" s="595">
        <v>0</v>
      </c>
      <c r="G100" s="669"/>
      <c r="H100" s="595">
        <v>0</v>
      </c>
      <c r="I100" s="595">
        <f t="shared" si="40"/>
        <v>0</v>
      </c>
    </row>
    <row r="101" spans="1:11" ht="21" x14ac:dyDescent="0.35">
      <c r="A101" s="23" t="s">
        <v>307</v>
      </c>
      <c r="B101" s="24"/>
      <c r="C101" s="537"/>
      <c r="D101" s="538" t="s">
        <v>308</v>
      </c>
      <c r="E101" s="603">
        <f>SUM(E102:E104)</f>
        <v>0</v>
      </c>
      <c r="F101" s="603">
        <f t="shared" ref="F101" si="51">SUM(F102:F104)</f>
        <v>0</v>
      </c>
      <c r="G101" s="683">
        <f t="shared" ref="G101" si="52">SUM(G102:G104)</f>
        <v>1197</v>
      </c>
      <c r="H101" s="603">
        <f>SUM(H102:H104)</f>
        <v>1197</v>
      </c>
      <c r="I101" s="603">
        <f t="shared" si="40"/>
        <v>-1197</v>
      </c>
    </row>
    <row r="102" spans="1:11" ht="21" x14ac:dyDescent="0.35">
      <c r="A102" s="32" t="s">
        <v>309</v>
      </c>
      <c r="B102" s="741" t="s">
        <v>1160</v>
      </c>
      <c r="C102" s="524" t="s">
        <v>310</v>
      </c>
      <c r="D102" s="541" t="s">
        <v>311</v>
      </c>
      <c r="E102" s="595">
        <v>0</v>
      </c>
      <c r="F102" s="595">
        <v>0</v>
      </c>
      <c r="G102" s="669"/>
      <c r="H102" s="595">
        <v>0</v>
      </c>
      <c r="I102" s="595">
        <f t="shared" si="40"/>
        <v>0</v>
      </c>
    </row>
    <row r="103" spans="1:11" ht="21" x14ac:dyDescent="0.35">
      <c r="A103" s="37" t="s">
        <v>313</v>
      </c>
      <c r="B103" s="741" t="s">
        <v>1160</v>
      </c>
      <c r="C103" s="524" t="s">
        <v>314</v>
      </c>
      <c r="D103" s="544" t="s">
        <v>315</v>
      </c>
      <c r="E103" s="595">
        <v>0</v>
      </c>
      <c r="F103" s="595">
        <v>0</v>
      </c>
      <c r="G103" s="654"/>
      <c r="H103" s="595">
        <v>0</v>
      </c>
      <c r="I103" s="595">
        <f t="shared" si="40"/>
        <v>0</v>
      </c>
    </row>
    <row r="104" spans="1:11" ht="21" x14ac:dyDescent="0.35">
      <c r="A104" s="32" t="s">
        <v>316</v>
      </c>
      <c r="B104" s="741" t="s">
        <v>1160</v>
      </c>
      <c r="C104" s="524" t="s">
        <v>317</v>
      </c>
      <c r="D104" s="541" t="s">
        <v>318</v>
      </c>
      <c r="E104" s="595">
        <v>0</v>
      </c>
      <c r="F104" s="595">
        <v>0</v>
      </c>
      <c r="G104" s="654">
        <v>1197</v>
      </c>
      <c r="H104" s="595">
        <v>1197</v>
      </c>
      <c r="I104" s="595">
        <f t="shared" si="40"/>
        <v>-1197</v>
      </c>
      <c r="J104" t="s">
        <v>1045</v>
      </c>
    </row>
    <row r="105" spans="1:11" ht="21" x14ac:dyDescent="0.35">
      <c r="A105" s="17" t="s">
        <v>319</v>
      </c>
      <c r="B105" s="18"/>
      <c r="C105" s="533"/>
      <c r="D105" s="534" t="s">
        <v>320</v>
      </c>
      <c r="E105" s="589">
        <f>E106+E202+E223+E224+E227+E232+E235+E236+E237</f>
        <v>-3408332.1990304608</v>
      </c>
      <c r="F105" s="589">
        <f t="shared" ref="F105" si="53">F106+F202+F223+F224+F227+F232+F235+F236+F237</f>
        <v>-3388734.4823687621</v>
      </c>
      <c r="G105" s="684">
        <f>G106+G202+G223+G224+G227+G232+G235+G236+G237</f>
        <v>-1580134.1300000001</v>
      </c>
      <c r="H105" s="589">
        <f>H106+H202+H223+H224+H227+H232+H235+H236+H237</f>
        <v>-3172881.7450840003</v>
      </c>
      <c r="I105" s="589">
        <f t="shared" si="40"/>
        <v>-235450.4539464605</v>
      </c>
    </row>
    <row r="106" spans="1:11" ht="21" x14ac:dyDescent="0.35">
      <c r="A106" s="20" t="s">
        <v>321</v>
      </c>
      <c r="B106" s="21"/>
      <c r="C106" s="535"/>
      <c r="D106" s="536" t="s">
        <v>322</v>
      </c>
      <c r="E106" s="609">
        <f>E107+E108+E168+E171+E174+E177+E179+E182+E194</f>
        <v>-1566168.7690304609</v>
      </c>
      <c r="F106" s="609">
        <f t="shared" ref="F106" si="54">F107+F108+F168+F171+F174+F177+F179+F182+F194</f>
        <v>-1566314.5423687622</v>
      </c>
      <c r="G106" s="678">
        <f>G107+G108+G168+G171+G174+G177+G179+G182+G194</f>
        <v>-689124.0900000002</v>
      </c>
      <c r="H106" s="609">
        <f>H107+H108+H168+H171+H174+H177+H179+H182+H194</f>
        <v>-1677493.885084</v>
      </c>
      <c r="I106" s="609">
        <f t="shared" si="40"/>
        <v>111325.1160535391</v>
      </c>
      <c r="J106" s="283">
        <f>+H106-G106</f>
        <v>-988369.79508399975</v>
      </c>
      <c r="K106" s="509" t="s">
        <v>1153</v>
      </c>
    </row>
    <row r="107" spans="1:11" ht="21" x14ac:dyDescent="0.35">
      <c r="A107" s="32"/>
      <c r="B107" s="741" t="s">
        <v>902</v>
      </c>
      <c r="C107" s="741" t="s">
        <v>1166</v>
      </c>
      <c r="D107" s="541" t="s">
        <v>1175</v>
      </c>
      <c r="E107" s="595">
        <f>-55000-5000</f>
        <v>-60000</v>
      </c>
      <c r="F107" s="595">
        <f t="shared" ref="F107" si="55">-55000-5000</f>
        <v>-60000</v>
      </c>
      <c r="G107" s="666">
        <f>-62038.3-16417.91+(-9708.14+18+94.3)-3334.75-1690.35-2955-31.96-5.2-95.88-26.72-286.18-392.26-42.4-49.67-965.77-144-19</f>
        <v>-98091.19</v>
      </c>
      <c r="H107" s="595">
        <f>-109656.92-15102.98</f>
        <v>-124759.9</v>
      </c>
      <c r="I107" s="595">
        <f t="shared" si="40"/>
        <v>64759.899999999994</v>
      </c>
      <c r="J107" t="s">
        <v>1078</v>
      </c>
    </row>
    <row r="108" spans="1:11" ht="21" x14ac:dyDescent="0.35">
      <c r="A108" s="67" t="s">
        <v>323</v>
      </c>
      <c r="B108" s="68"/>
      <c r="C108" s="547"/>
      <c r="D108" s="548" t="s">
        <v>324</v>
      </c>
      <c r="E108" s="611">
        <f>E109+E143+E153+E155+E160+E166</f>
        <v>-1352029.7690304609</v>
      </c>
      <c r="F108" s="611">
        <f t="shared" ref="F108" si="56">F109+F143+F153+F155+F160+F166</f>
        <v>-1352177.5423687622</v>
      </c>
      <c r="G108" s="685">
        <f>G109+G143+G153+G155+G160+G166</f>
        <v>-491445.71000000008</v>
      </c>
      <c r="H108" s="611">
        <f>H109+H143+H153+H155+H160+H166</f>
        <v>-1306915.94</v>
      </c>
      <c r="I108" s="611">
        <f t="shared" si="40"/>
        <v>-45113.829030460911</v>
      </c>
    </row>
    <row r="109" spans="1:11" ht="21" x14ac:dyDescent="0.35">
      <c r="A109" s="26" t="s">
        <v>325</v>
      </c>
      <c r="B109" s="27"/>
      <c r="C109" s="539"/>
      <c r="D109" s="540" t="s">
        <v>326</v>
      </c>
      <c r="E109" s="600">
        <f>E110+E116+E120+E124+E132+E134+E137</f>
        <v>-281600</v>
      </c>
      <c r="F109" s="600">
        <f t="shared" ref="F109" si="57">F110+F116+F120+F124+F132+F134+F137</f>
        <v>-281599</v>
      </c>
      <c r="G109" s="681">
        <f>G110+G116+G120+G124+G132+G134</f>
        <v>-124264.22</v>
      </c>
      <c r="H109" s="600">
        <f>H110+H116+H120+H124+H132+H134+H137</f>
        <v>-344846.52000000008</v>
      </c>
      <c r="I109" s="600">
        <f>+E109-H109</f>
        <v>63246.520000000077</v>
      </c>
    </row>
    <row r="110" spans="1:11" ht="21" x14ac:dyDescent="0.35">
      <c r="A110" s="39" t="s">
        <v>330</v>
      </c>
      <c r="B110" s="40"/>
      <c r="C110" s="542"/>
      <c r="D110" s="543" t="s">
        <v>331</v>
      </c>
      <c r="E110" s="597">
        <f>SUM(E111:E115)</f>
        <v>-105000</v>
      </c>
      <c r="F110" s="597">
        <f t="shared" ref="F110" si="58">SUM(F111:F115)</f>
        <v>-105000</v>
      </c>
      <c r="G110" s="238">
        <f>SUM(G111:G115)</f>
        <v>-38940.559999999998</v>
      </c>
      <c r="H110" s="597">
        <f>SUM(H111:H115)</f>
        <v>-103272.67</v>
      </c>
      <c r="I110" s="597">
        <f t="shared" si="40"/>
        <v>-1727.3300000000017</v>
      </c>
    </row>
    <row r="111" spans="1:11" ht="21" x14ac:dyDescent="0.35">
      <c r="A111" s="32" t="s">
        <v>332</v>
      </c>
      <c r="B111" s="741" t="s">
        <v>32</v>
      </c>
      <c r="C111" s="524" t="s">
        <v>333</v>
      </c>
      <c r="D111" s="541" t="s">
        <v>334</v>
      </c>
      <c r="E111" s="595">
        <f>-45000-30000</f>
        <v>-75000</v>
      </c>
      <c r="F111" s="595">
        <f t="shared" ref="F111" si="59">-45000-30000</f>
        <v>-75000</v>
      </c>
      <c r="G111" s="33">
        <v>-12391.9</v>
      </c>
      <c r="H111" s="595">
        <f>-39925.3</f>
        <v>-39925.300000000003</v>
      </c>
      <c r="I111" s="595">
        <f t="shared" si="40"/>
        <v>-35074.699999999997</v>
      </c>
    </row>
    <row r="112" spans="1:11" ht="21" x14ac:dyDescent="0.35">
      <c r="A112" s="37" t="s">
        <v>335</v>
      </c>
      <c r="B112" s="741" t="s">
        <v>32</v>
      </c>
      <c r="C112" s="524" t="s">
        <v>336</v>
      </c>
      <c r="D112" s="544" t="s">
        <v>337</v>
      </c>
      <c r="E112" s="595">
        <v>0</v>
      </c>
      <c r="F112" s="595">
        <v>0</v>
      </c>
      <c r="G112" s="240">
        <f>-12470.51-1610.87</f>
        <v>-14081.380000000001</v>
      </c>
      <c r="H112" s="595">
        <v>-23913.599999999999</v>
      </c>
      <c r="I112" s="595">
        <f t="shared" si="40"/>
        <v>23913.599999999999</v>
      </c>
      <c r="J112" s="92" t="s">
        <v>1131</v>
      </c>
    </row>
    <row r="113" spans="1:11" ht="21" x14ac:dyDescent="0.35">
      <c r="A113" s="37" t="s">
        <v>341</v>
      </c>
      <c r="B113" s="741" t="s">
        <v>32</v>
      </c>
      <c r="C113" s="524" t="s">
        <v>342</v>
      </c>
      <c r="D113" s="544" t="s">
        <v>343</v>
      </c>
      <c r="E113" s="595">
        <v>-6000</v>
      </c>
      <c r="F113" s="595">
        <v>-6000</v>
      </c>
      <c r="G113" s="33">
        <f>-2172.93-324.25</f>
        <v>-2497.1799999999998</v>
      </c>
      <c r="H113" s="595">
        <f>-2497.18*2</f>
        <v>-4994.3599999999997</v>
      </c>
      <c r="I113" s="595">
        <f t="shared" si="40"/>
        <v>-1005.6400000000003</v>
      </c>
    </row>
    <row r="114" spans="1:11" ht="21" x14ac:dyDescent="0.35">
      <c r="A114" s="32" t="s">
        <v>344</v>
      </c>
      <c r="B114" s="741" t="s">
        <v>32</v>
      </c>
      <c r="C114" s="524" t="s">
        <v>345</v>
      </c>
      <c r="D114" s="541" t="s">
        <v>346</v>
      </c>
      <c r="E114" s="595">
        <v>-14000</v>
      </c>
      <c r="F114" s="595">
        <v>-14000</v>
      </c>
      <c r="G114" s="240">
        <v>-5025</v>
      </c>
      <c r="H114" s="595">
        <v>-8695</v>
      </c>
      <c r="I114" s="595">
        <f t="shared" si="40"/>
        <v>-5305</v>
      </c>
    </row>
    <row r="115" spans="1:11" ht="21" x14ac:dyDescent="0.35">
      <c r="A115" s="51" t="s">
        <v>347</v>
      </c>
      <c r="B115" s="741" t="s">
        <v>32</v>
      </c>
      <c r="C115" s="549" t="s">
        <v>348</v>
      </c>
      <c r="D115" s="550" t="s">
        <v>349</v>
      </c>
      <c r="E115" s="598">
        <v>-10000</v>
      </c>
      <c r="F115" s="598">
        <v>-10000</v>
      </c>
      <c r="G115" s="33">
        <f>-3339.6-1605.5</f>
        <v>-4945.1000000000004</v>
      </c>
      <c r="H115" s="612">
        <v>-25744.41</v>
      </c>
      <c r="I115" s="595">
        <f t="shared" si="40"/>
        <v>15744.41</v>
      </c>
      <c r="J115" s="522" t="s">
        <v>1141</v>
      </c>
    </row>
    <row r="116" spans="1:11" ht="21" x14ac:dyDescent="0.35">
      <c r="A116" s="39" t="s">
        <v>350</v>
      </c>
      <c r="B116" s="40"/>
      <c r="C116" s="542"/>
      <c r="D116" s="543" t="s">
        <v>351</v>
      </c>
      <c r="E116" s="597">
        <f>SUM(E117:E119)</f>
        <v>-34000</v>
      </c>
      <c r="F116" s="597">
        <f t="shared" ref="F116" si="60">SUM(F117:F119)</f>
        <v>-34000</v>
      </c>
      <c r="G116" s="238">
        <f>SUM(G117:G119)</f>
        <v>-7606.12</v>
      </c>
      <c r="H116" s="597">
        <f>SUM(H117:H119)</f>
        <v>-31971.34</v>
      </c>
      <c r="I116" s="597">
        <f t="shared" si="40"/>
        <v>-2028.6599999999999</v>
      </c>
    </row>
    <row r="117" spans="1:11" ht="21" x14ac:dyDescent="0.35">
      <c r="A117" s="37" t="s">
        <v>352</v>
      </c>
      <c r="B117" s="741" t="s">
        <v>32</v>
      </c>
      <c r="C117" s="524" t="s">
        <v>353</v>
      </c>
      <c r="D117" s="544" t="s">
        <v>354</v>
      </c>
      <c r="E117" s="595">
        <v>-20000</v>
      </c>
      <c r="F117" s="595">
        <v>-20000</v>
      </c>
      <c r="G117" s="33">
        <f>-7089.12-265-71</f>
        <v>-7425.12</v>
      </c>
      <c r="H117" s="595">
        <f>-10503.66-7872.48-1000</f>
        <v>-19376.14</v>
      </c>
      <c r="I117" s="595">
        <f t="shared" si="40"/>
        <v>-623.86000000000058</v>
      </c>
      <c r="J117" s="517">
        <v>1000</v>
      </c>
      <c r="K117" s="518" t="s">
        <v>1106</v>
      </c>
    </row>
    <row r="118" spans="1:11" ht="21" x14ac:dyDescent="0.35">
      <c r="A118" s="32" t="s">
        <v>355</v>
      </c>
      <c r="B118" s="741" t="s">
        <v>32</v>
      </c>
      <c r="C118" s="524" t="s">
        <v>356</v>
      </c>
      <c r="D118" s="541" t="s">
        <v>357</v>
      </c>
      <c r="E118" s="595">
        <v>-4000</v>
      </c>
      <c r="F118" s="595">
        <v>-4000</v>
      </c>
      <c r="G118" s="240">
        <f>-181</f>
        <v>-181</v>
      </c>
      <c r="H118" s="595">
        <f>-1143-181</f>
        <v>-1324</v>
      </c>
      <c r="I118" s="595">
        <f t="shared" si="40"/>
        <v>-2676</v>
      </c>
    </row>
    <row r="119" spans="1:11" ht="21" x14ac:dyDescent="0.35">
      <c r="A119" s="51" t="s">
        <v>361</v>
      </c>
      <c r="B119" s="741" t="s">
        <v>32</v>
      </c>
      <c r="C119" s="549" t="s">
        <v>362</v>
      </c>
      <c r="D119" s="550" t="s">
        <v>363</v>
      </c>
      <c r="E119" s="598">
        <v>-10000</v>
      </c>
      <c r="F119" s="598">
        <v>-10000</v>
      </c>
      <c r="G119" s="33"/>
      <c r="H119" s="613">
        <v>-11271.2</v>
      </c>
      <c r="I119" s="610">
        <f t="shared" si="40"/>
        <v>1271.2000000000007</v>
      </c>
      <c r="J119" s="522" t="s">
        <v>1141</v>
      </c>
    </row>
    <row r="120" spans="1:11" ht="21" x14ac:dyDescent="0.35">
      <c r="A120" s="39" t="s">
        <v>364</v>
      </c>
      <c r="B120" s="40"/>
      <c r="C120" s="542"/>
      <c r="D120" s="543" t="s">
        <v>365</v>
      </c>
      <c r="E120" s="597">
        <f>SUM(E121:E123)</f>
        <v>-66900</v>
      </c>
      <c r="F120" s="597">
        <f t="shared" ref="F120" si="61">SUM(F121:F123)</f>
        <v>-66900</v>
      </c>
      <c r="G120" s="238">
        <f t="shared" ref="G120" si="62">SUM(G121:G123)</f>
        <v>-18298.260000000002</v>
      </c>
      <c r="H120" s="597">
        <f>SUM(H121:H123)</f>
        <v>-57573.259999999995</v>
      </c>
      <c r="I120" s="597">
        <f t="shared" si="40"/>
        <v>-9326.7400000000052</v>
      </c>
    </row>
    <row r="121" spans="1:11" ht="21" x14ac:dyDescent="0.35">
      <c r="A121" s="32" t="s">
        <v>366</v>
      </c>
      <c r="B121" s="741" t="s">
        <v>32</v>
      </c>
      <c r="C121" s="524" t="s">
        <v>367</v>
      </c>
      <c r="D121" s="541" t="s">
        <v>368</v>
      </c>
      <c r="E121" s="595">
        <v>-36900</v>
      </c>
      <c r="F121" s="595">
        <v>-36900</v>
      </c>
      <c r="G121" s="33">
        <v>-10503.66</v>
      </c>
      <c r="H121" s="595">
        <f>-10503.66-13615</f>
        <v>-24118.66</v>
      </c>
      <c r="I121" s="595">
        <f t="shared" si="40"/>
        <v>-12781.34</v>
      </c>
      <c r="J121" s="92"/>
      <c r="K121" s="516"/>
    </row>
    <row r="122" spans="1:11" ht="21" x14ac:dyDescent="0.35">
      <c r="A122" s="37" t="s">
        <v>369</v>
      </c>
      <c r="B122" s="741" t="s">
        <v>32</v>
      </c>
      <c r="C122" s="524" t="s">
        <v>370</v>
      </c>
      <c r="D122" s="541" t="s">
        <v>371</v>
      </c>
      <c r="E122" s="595">
        <v>-20000</v>
      </c>
      <c r="F122" s="595">
        <v>-20000</v>
      </c>
      <c r="G122" s="240">
        <v>-7794.6</v>
      </c>
      <c r="H122" s="595">
        <v>-16454.599999999999</v>
      </c>
      <c r="I122" s="595">
        <f t="shared" si="40"/>
        <v>-3545.4000000000015</v>
      </c>
      <c r="J122" s="350" t="s">
        <v>949</v>
      </c>
    </row>
    <row r="123" spans="1:11" ht="21" x14ac:dyDescent="0.35">
      <c r="A123" s="51" t="s">
        <v>372</v>
      </c>
      <c r="B123" s="741" t="s">
        <v>32</v>
      </c>
      <c r="C123" s="549" t="s">
        <v>373</v>
      </c>
      <c r="D123" s="550" t="s">
        <v>374</v>
      </c>
      <c r="E123" s="598">
        <v>-10000</v>
      </c>
      <c r="F123" s="598">
        <v>-10000</v>
      </c>
      <c r="G123" s="33"/>
      <c r="H123" s="613">
        <f>-12000-5000</f>
        <v>-17000</v>
      </c>
      <c r="I123" s="610">
        <f t="shared" si="40"/>
        <v>7000</v>
      </c>
      <c r="J123" s="522" t="s">
        <v>1141</v>
      </c>
    </row>
    <row r="124" spans="1:11" ht="21" x14ac:dyDescent="0.35">
      <c r="A124" s="39" t="s">
        <v>375</v>
      </c>
      <c r="B124" s="40"/>
      <c r="C124" s="542"/>
      <c r="D124" s="543" t="s">
        <v>376</v>
      </c>
      <c r="E124" s="597">
        <f>SUM(E125:E131)</f>
        <v>-35700</v>
      </c>
      <c r="F124" s="597">
        <f t="shared" ref="F124:G124" si="63">SUM(F125:F131)</f>
        <v>-35700</v>
      </c>
      <c r="G124" s="238">
        <f t="shared" si="63"/>
        <v>-53879.090000000004</v>
      </c>
      <c r="H124" s="597">
        <f>SUM(H125:H131)</f>
        <v>-131690.41</v>
      </c>
      <c r="I124" s="597">
        <f t="shared" si="40"/>
        <v>95990.41</v>
      </c>
    </row>
    <row r="125" spans="1:11" ht="21" x14ac:dyDescent="0.35">
      <c r="A125" s="32" t="s">
        <v>377</v>
      </c>
      <c r="B125" s="741" t="s">
        <v>32</v>
      </c>
      <c r="C125" s="524" t="s">
        <v>378</v>
      </c>
      <c r="D125" s="541" t="s">
        <v>379</v>
      </c>
      <c r="E125" s="595">
        <v>0</v>
      </c>
      <c r="F125" s="595">
        <v>0</v>
      </c>
      <c r="G125" s="33">
        <f>-15085.4-4831.64</f>
        <v>-19917.04</v>
      </c>
      <c r="H125" s="595">
        <f>-19917.04</f>
        <v>-19917.04</v>
      </c>
      <c r="I125" s="595">
        <f t="shared" si="40"/>
        <v>19917.04</v>
      </c>
      <c r="J125" s="350" t="s">
        <v>1007</v>
      </c>
    </row>
    <row r="126" spans="1:11" ht="21" x14ac:dyDescent="0.35">
      <c r="A126" s="37" t="s">
        <v>380</v>
      </c>
      <c r="B126" s="741" t="s">
        <v>32</v>
      </c>
      <c r="C126" s="524" t="s">
        <v>381</v>
      </c>
      <c r="D126" s="544" t="s">
        <v>382</v>
      </c>
      <c r="E126" s="595">
        <v>0</v>
      </c>
      <c r="F126" s="595">
        <v>0</v>
      </c>
      <c r="G126" s="240">
        <f>-13580.54-5916.41</f>
        <v>-19496.95</v>
      </c>
      <c r="H126" s="595">
        <v>-19496.95</v>
      </c>
      <c r="I126" s="595">
        <f t="shared" si="40"/>
        <v>19496.95</v>
      </c>
      <c r="J126" s="350" t="s">
        <v>948</v>
      </c>
    </row>
    <row r="127" spans="1:11" ht="21" x14ac:dyDescent="0.35">
      <c r="A127" s="32" t="s">
        <v>383</v>
      </c>
      <c r="B127" s="741" t="s">
        <v>32</v>
      </c>
      <c r="C127" s="524" t="s">
        <v>384</v>
      </c>
      <c r="D127" s="541" t="s">
        <v>385</v>
      </c>
      <c r="E127" s="595">
        <v>0</v>
      </c>
      <c r="F127" s="595">
        <v>0</v>
      </c>
      <c r="G127" s="33">
        <v>-4950</v>
      </c>
      <c r="H127" s="595">
        <f>-4950</f>
        <v>-4950</v>
      </c>
      <c r="I127" s="595">
        <f t="shared" si="40"/>
        <v>4950</v>
      </c>
      <c r="J127" s="350" t="s">
        <v>1006</v>
      </c>
    </row>
    <row r="128" spans="1:11" ht="21" x14ac:dyDescent="0.35">
      <c r="A128" s="37" t="s">
        <v>386</v>
      </c>
      <c r="B128" s="741" t="s">
        <v>32</v>
      </c>
      <c r="C128" s="524" t="s">
        <v>387</v>
      </c>
      <c r="D128" s="541" t="s">
        <v>388</v>
      </c>
      <c r="E128" s="595">
        <v>-8600</v>
      </c>
      <c r="F128" s="595">
        <v>-8600</v>
      </c>
      <c r="G128" s="240">
        <v>-4300</v>
      </c>
      <c r="H128" s="595">
        <f>-8600</f>
        <v>-8600</v>
      </c>
      <c r="I128" s="595">
        <f t="shared" si="40"/>
        <v>0</v>
      </c>
      <c r="J128" s="350" t="s">
        <v>954</v>
      </c>
    </row>
    <row r="129" spans="1:11" ht="21" x14ac:dyDescent="0.35">
      <c r="A129" s="32" t="s">
        <v>389</v>
      </c>
      <c r="B129" s="741" t="s">
        <v>32</v>
      </c>
      <c r="C129" s="524" t="s">
        <v>390</v>
      </c>
      <c r="D129" s="541" t="s">
        <v>391</v>
      </c>
      <c r="E129" s="595">
        <v>0</v>
      </c>
      <c r="F129" s="595">
        <v>0</v>
      </c>
      <c r="G129" s="33">
        <v>-2010.6</v>
      </c>
      <c r="H129" s="595">
        <f>-2632.36-4528.95</f>
        <v>-7161.3099999999995</v>
      </c>
      <c r="I129" s="595">
        <f t="shared" si="40"/>
        <v>7161.3099999999995</v>
      </c>
      <c r="J129" s="350" t="s">
        <v>1129</v>
      </c>
    </row>
    <row r="130" spans="1:11" ht="21" x14ac:dyDescent="0.35">
      <c r="A130" s="37" t="s">
        <v>392</v>
      </c>
      <c r="B130" s="741" t="s">
        <v>32</v>
      </c>
      <c r="C130" s="524" t="s">
        <v>393</v>
      </c>
      <c r="D130" s="544" t="s">
        <v>394</v>
      </c>
      <c r="E130" s="595">
        <v>-7100</v>
      </c>
      <c r="F130" s="595">
        <v>-7100</v>
      </c>
      <c r="G130" s="240">
        <f>-718.5-2486</f>
        <v>-3204.5</v>
      </c>
      <c r="H130" s="595">
        <f>-3204.5-548</f>
        <v>-3752.5</v>
      </c>
      <c r="I130" s="595">
        <f t="shared" si="40"/>
        <v>-3347.5</v>
      </c>
      <c r="J130" s="507"/>
    </row>
    <row r="131" spans="1:11" ht="21" x14ac:dyDescent="0.35">
      <c r="A131" s="51" t="s">
        <v>395</v>
      </c>
      <c r="B131" s="741" t="s">
        <v>32</v>
      </c>
      <c r="C131" s="549" t="s">
        <v>396</v>
      </c>
      <c r="D131" s="550" t="s">
        <v>397</v>
      </c>
      <c r="E131" s="598">
        <v>-20000</v>
      </c>
      <c r="F131" s="598">
        <v>-20000</v>
      </c>
      <c r="G131" s="33"/>
      <c r="H131" s="610">
        <f>-33659-34153.61</f>
        <v>-67812.61</v>
      </c>
      <c r="I131" s="610">
        <f t="shared" si="40"/>
        <v>47812.61</v>
      </c>
      <c r="J131" s="298"/>
    </row>
    <row r="132" spans="1:11" ht="21" x14ac:dyDescent="0.35">
      <c r="A132" s="39" t="s">
        <v>398</v>
      </c>
      <c r="B132" s="40"/>
      <c r="C132" s="542"/>
      <c r="D132" s="543" t="s">
        <v>399</v>
      </c>
      <c r="E132" s="597">
        <f>E133</f>
        <v>-10000</v>
      </c>
      <c r="F132" s="597">
        <f t="shared" ref="F132:G132" si="64">F133</f>
        <v>-9999</v>
      </c>
      <c r="G132" s="238">
        <f t="shared" si="64"/>
        <v>0</v>
      </c>
      <c r="H132" s="597">
        <f>H133</f>
        <v>-5801.45</v>
      </c>
      <c r="I132" s="597">
        <f t="shared" si="40"/>
        <v>-4198.55</v>
      </c>
    </row>
    <row r="133" spans="1:11" ht="21" x14ac:dyDescent="0.35">
      <c r="A133" s="51" t="s">
        <v>400</v>
      </c>
      <c r="B133" s="741" t="s">
        <v>32</v>
      </c>
      <c r="C133" s="549" t="s">
        <v>401</v>
      </c>
      <c r="D133" s="550" t="s">
        <v>402</v>
      </c>
      <c r="E133" s="595">
        <v>-10000</v>
      </c>
      <c r="F133" s="595">
        <v>-9999</v>
      </c>
      <c r="G133" s="33"/>
      <c r="H133" s="610">
        <f>-5000-801.45</f>
        <v>-5801.45</v>
      </c>
      <c r="I133" s="610">
        <f t="shared" si="40"/>
        <v>-4198.55</v>
      </c>
    </row>
    <row r="134" spans="1:11" ht="21" x14ac:dyDescent="0.35">
      <c r="A134" s="39" t="s">
        <v>403</v>
      </c>
      <c r="B134" s="40"/>
      <c r="C134" s="542"/>
      <c r="D134" s="543" t="s">
        <v>404</v>
      </c>
      <c r="E134" s="597">
        <f>SUM(E135:E136)</f>
        <v>-20000</v>
      </c>
      <c r="F134" s="597">
        <f t="shared" ref="F134" si="65">SUM(F135:F136)</f>
        <v>-20000</v>
      </c>
      <c r="G134" s="238">
        <f>SUM(G135:G136)</f>
        <v>-5540.19</v>
      </c>
      <c r="H134" s="597">
        <f>SUM(H135:H136)</f>
        <v>-9141.09</v>
      </c>
      <c r="I134" s="597">
        <f t="shared" ref="I134:I197" si="66">+E134-H134</f>
        <v>-10858.91</v>
      </c>
    </row>
    <row r="135" spans="1:11" ht="21" x14ac:dyDescent="0.35">
      <c r="A135" s="32" t="s">
        <v>405</v>
      </c>
      <c r="B135" s="741" t="s">
        <v>32</v>
      </c>
      <c r="C135" s="524" t="s">
        <v>406</v>
      </c>
      <c r="D135" s="541" t="s">
        <v>754</v>
      </c>
      <c r="E135" s="595">
        <v>-10000</v>
      </c>
      <c r="F135" s="595">
        <v>-10000</v>
      </c>
      <c r="G135" s="33">
        <v>-5540.19</v>
      </c>
      <c r="H135" s="595">
        <f>-7891.09</f>
        <v>-7891.09</v>
      </c>
      <c r="I135" s="595">
        <f t="shared" si="66"/>
        <v>-2108.91</v>
      </c>
      <c r="J135" s="269"/>
    </row>
    <row r="136" spans="1:11" ht="21" x14ac:dyDescent="0.35">
      <c r="A136" s="51" t="s">
        <v>411</v>
      </c>
      <c r="B136" s="741" t="s">
        <v>32</v>
      </c>
      <c r="C136" s="549" t="s">
        <v>412</v>
      </c>
      <c r="D136" s="550" t="s">
        <v>413</v>
      </c>
      <c r="E136" s="614">
        <v>-10000</v>
      </c>
      <c r="F136" s="614">
        <v>-10000</v>
      </c>
      <c r="G136" s="240"/>
      <c r="H136" s="610">
        <v>-1250</v>
      </c>
      <c r="I136" s="610">
        <f t="shared" si="66"/>
        <v>-8750</v>
      </c>
      <c r="J136" s="350" t="s">
        <v>955</v>
      </c>
    </row>
    <row r="137" spans="1:11" ht="21.75" thickBot="1" x14ac:dyDescent="0.4">
      <c r="A137" s="39" t="s">
        <v>403</v>
      </c>
      <c r="B137" s="40"/>
      <c r="C137" s="542"/>
      <c r="D137" s="543" t="s">
        <v>1046</v>
      </c>
      <c r="E137" s="597">
        <f>E142</f>
        <v>-10000</v>
      </c>
      <c r="F137" s="597">
        <f t="shared" ref="F137" si="67">F142</f>
        <v>-10000</v>
      </c>
      <c r="G137" s="238">
        <f t="shared" ref="G137" si="68">SUM(G138:G141)</f>
        <v>0</v>
      </c>
      <c r="H137" s="597">
        <f>H142</f>
        <v>-5396.3</v>
      </c>
      <c r="I137" s="597">
        <f t="shared" si="66"/>
        <v>-4603.7</v>
      </c>
    </row>
    <row r="138" spans="1:11" ht="21" x14ac:dyDescent="0.35">
      <c r="A138" s="32" t="s">
        <v>405</v>
      </c>
      <c r="B138" s="741" t="s">
        <v>27</v>
      </c>
      <c r="C138" s="551" t="s">
        <v>997</v>
      </c>
      <c r="D138" s="552" t="s">
        <v>1000</v>
      </c>
      <c r="E138" s="615">
        <v>-5000</v>
      </c>
      <c r="F138" s="615">
        <v>-5000</v>
      </c>
      <c r="G138" s="240"/>
      <c r="H138" s="616"/>
      <c r="I138" s="616">
        <f t="shared" si="66"/>
        <v>-5000</v>
      </c>
    </row>
    <row r="139" spans="1:11" ht="21" x14ac:dyDescent="0.35">
      <c r="A139" s="32"/>
      <c r="B139" s="741" t="s">
        <v>27</v>
      </c>
      <c r="C139" s="553" t="s">
        <v>998</v>
      </c>
      <c r="D139" s="554" t="s">
        <v>1001</v>
      </c>
      <c r="E139" s="617"/>
      <c r="F139" s="617"/>
      <c r="G139" s="33"/>
      <c r="H139" s="618"/>
      <c r="I139" s="618">
        <f t="shared" si="66"/>
        <v>0</v>
      </c>
    </row>
    <row r="140" spans="1:11" ht="21" x14ac:dyDescent="0.35">
      <c r="A140" s="32"/>
      <c r="B140" s="741" t="s">
        <v>27</v>
      </c>
      <c r="C140" s="553" t="s">
        <v>999</v>
      </c>
      <c r="D140" s="554" t="s">
        <v>1003</v>
      </c>
      <c r="E140" s="619">
        <v>-1000</v>
      </c>
      <c r="F140" s="619">
        <v>-1000</v>
      </c>
      <c r="G140" s="240"/>
      <c r="H140" s="616"/>
      <c r="I140" s="616">
        <f t="shared" si="66"/>
        <v>-1000</v>
      </c>
    </row>
    <row r="141" spans="1:11" ht="21.75" thickBot="1" x14ac:dyDescent="0.4">
      <c r="A141" s="51" t="s">
        <v>411</v>
      </c>
      <c r="B141" s="741" t="s">
        <v>27</v>
      </c>
      <c r="C141" s="555" t="s">
        <v>1002</v>
      </c>
      <c r="D141" s="556" t="s">
        <v>1004</v>
      </c>
      <c r="E141" s="620">
        <v>-1000</v>
      </c>
      <c r="F141" s="620">
        <v>-1000</v>
      </c>
      <c r="G141" s="33"/>
      <c r="H141" s="616"/>
      <c r="I141" s="616">
        <f t="shared" si="66"/>
        <v>-1000</v>
      </c>
    </row>
    <row r="142" spans="1:11" ht="21" x14ac:dyDescent="0.35">
      <c r="A142" s="51"/>
      <c r="B142" s="741" t="s">
        <v>27</v>
      </c>
      <c r="C142" s="557" t="s">
        <v>1042</v>
      </c>
      <c r="D142" s="558" t="s">
        <v>1043</v>
      </c>
      <c r="E142" s="621">
        <v>-10000</v>
      </c>
      <c r="F142" s="621">
        <v>-10000</v>
      </c>
      <c r="G142" s="240">
        <f>-37.96-19.34-132.1-6.25-20-273.1-740-2509.3-19.2-130-264.39-44-1520-220</f>
        <v>-5935.64</v>
      </c>
      <c r="H142" s="622">
        <f>-4396.3-1000</f>
        <v>-5396.3</v>
      </c>
      <c r="I142" s="622">
        <f t="shared" si="66"/>
        <v>-4603.7</v>
      </c>
      <c r="J142" s="514">
        <v>1000</v>
      </c>
      <c r="K142" s="515" t="s">
        <v>1106</v>
      </c>
    </row>
    <row r="143" spans="1:11" ht="21" x14ac:dyDescent="0.35">
      <c r="A143" s="26" t="s">
        <v>415</v>
      </c>
      <c r="B143" s="27"/>
      <c r="C143" s="539"/>
      <c r="D143" s="540" t="s">
        <v>416</v>
      </c>
      <c r="E143" s="600">
        <f>E144+E146+E151</f>
        <v>-478816.92818181822</v>
      </c>
      <c r="F143" s="600">
        <f t="shared" ref="F143" si="69">F144+F146+F151</f>
        <v>-478966.70152011927</v>
      </c>
      <c r="G143" s="665">
        <f>G144+G146+G151</f>
        <v>-103396.32</v>
      </c>
      <c r="H143" s="600">
        <f>H144+H146+H151</f>
        <v>-397057.31</v>
      </c>
      <c r="I143" s="600">
        <f t="shared" si="66"/>
        <v>-81759.618181818223</v>
      </c>
    </row>
    <row r="144" spans="1:11" ht="21" x14ac:dyDescent="0.35">
      <c r="A144" s="39" t="s">
        <v>417</v>
      </c>
      <c r="B144" s="40"/>
      <c r="C144" s="542"/>
      <c r="D144" s="543" t="s">
        <v>418</v>
      </c>
      <c r="E144" s="597">
        <f>E145</f>
        <v>-149031.29999999999</v>
      </c>
      <c r="F144" s="597">
        <f t="shared" ref="F144:G144" si="70">F145</f>
        <v>-149032.20909090908</v>
      </c>
      <c r="G144" s="675">
        <f t="shared" si="70"/>
        <v>-6968</v>
      </c>
      <c r="H144" s="597">
        <f>H145</f>
        <v>0</v>
      </c>
      <c r="I144" s="597">
        <f t="shared" si="66"/>
        <v>-149031.29999999999</v>
      </c>
    </row>
    <row r="145" spans="1:15" ht="21" x14ac:dyDescent="0.35">
      <c r="A145" s="32"/>
      <c r="B145" s="741" t="s">
        <v>42</v>
      </c>
      <c r="C145" s="741" t="s">
        <v>1161</v>
      </c>
      <c r="D145" s="541" t="s">
        <v>1088</v>
      </c>
      <c r="E145" s="593">
        <f>-E12/1.1</f>
        <v>-149031.29999999999</v>
      </c>
      <c r="F145" s="593">
        <f t="shared" ref="F145" si="71">-F12/1.1</f>
        <v>-149032.20909090908</v>
      </c>
      <c r="G145" s="650">
        <v>-6968</v>
      </c>
      <c r="H145" s="593">
        <v>0</v>
      </c>
      <c r="I145" s="593">
        <f t="shared" si="66"/>
        <v>-149031.29999999999</v>
      </c>
    </row>
    <row r="146" spans="1:15" ht="21" x14ac:dyDescent="0.35">
      <c r="A146" s="39" t="s">
        <v>420</v>
      </c>
      <c r="B146" s="40"/>
      <c r="C146" s="542"/>
      <c r="D146" s="543" t="s">
        <v>421</v>
      </c>
      <c r="E146" s="597">
        <f>SUM(E147:E150)</f>
        <v>-172557.61000000002</v>
      </c>
      <c r="F146" s="597">
        <f t="shared" ref="F146" si="72">SUM(F147:F150)</f>
        <v>-218161.02000000002</v>
      </c>
      <c r="G146" s="675">
        <f>SUM(G148:G149)</f>
        <v>-18128.32</v>
      </c>
      <c r="H146" s="597">
        <f>SUM(H147:H150)</f>
        <v>-162510.31</v>
      </c>
      <c r="I146" s="597">
        <f t="shared" si="66"/>
        <v>-10047.300000000017</v>
      </c>
    </row>
    <row r="147" spans="1:15" ht="21" x14ac:dyDescent="0.35">
      <c r="A147" s="32"/>
      <c r="B147" s="741" t="s">
        <v>42</v>
      </c>
      <c r="C147" s="524" t="s">
        <v>755</v>
      </c>
      <c r="D147" s="541" t="s">
        <v>728</v>
      </c>
      <c r="E147" s="593">
        <v>-92404.86</v>
      </c>
      <c r="F147" s="593">
        <v>-138008.26999999999</v>
      </c>
      <c r="H147" s="593">
        <v>-55600.14</v>
      </c>
      <c r="I147" s="593">
        <f t="shared" si="66"/>
        <v>-36804.720000000001</v>
      </c>
      <c r="J147" s="70"/>
      <c r="K147" s="70"/>
    </row>
    <row r="148" spans="1:15" ht="21" x14ac:dyDescent="0.35">
      <c r="A148" s="32"/>
      <c r="B148" s="741" t="s">
        <v>42</v>
      </c>
      <c r="C148" s="524" t="s">
        <v>419</v>
      </c>
      <c r="D148" s="541" t="s">
        <v>44</v>
      </c>
      <c r="E148" s="593">
        <v>-68531.3</v>
      </c>
      <c r="F148" s="593">
        <v>-68531.3</v>
      </c>
      <c r="G148" s="664">
        <f>-6015.74-95.5+480-325-620-370-4797.48-380-480-3599.6-220-120-500</f>
        <v>-17043.32</v>
      </c>
      <c r="H148" s="593">
        <f>-77000-3500</f>
        <v>-80500</v>
      </c>
      <c r="I148" s="593">
        <f t="shared" si="66"/>
        <v>11968.699999999997</v>
      </c>
    </row>
    <row r="149" spans="1:15" ht="21" x14ac:dyDescent="0.35">
      <c r="A149" s="32"/>
      <c r="B149" s="741" t="s">
        <v>42</v>
      </c>
      <c r="C149" s="524" t="s">
        <v>422</v>
      </c>
      <c r="D149" s="541" t="s">
        <v>50</v>
      </c>
      <c r="E149" s="595">
        <v>-8493.17</v>
      </c>
      <c r="F149" s="595">
        <v>-8493.17</v>
      </c>
      <c r="G149" s="654">
        <v>-1085</v>
      </c>
      <c r="H149" s="595">
        <v>-25325.17</v>
      </c>
      <c r="I149" s="595">
        <f t="shared" si="66"/>
        <v>16832</v>
      </c>
    </row>
    <row r="150" spans="1:15" ht="21" x14ac:dyDescent="0.35">
      <c r="A150" s="32" t="s">
        <v>424</v>
      </c>
      <c r="B150" s="741" t="s">
        <v>42</v>
      </c>
      <c r="C150" s="524" t="s">
        <v>425</v>
      </c>
      <c r="D150" s="742" t="s">
        <v>1097</v>
      </c>
      <c r="E150" s="595">
        <v>-3128.28</v>
      </c>
      <c r="F150" s="595">
        <v>-3128.28</v>
      </c>
      <c r="G150" s="654"/>
      <c r="H150" s="595">
        <v>-1085</v>
      </c>
      <c r="I150" s="595">
        <f t="shared" si="66"/>
        <v>-2043.2800000000002</v>
      </c>
    </row>
    <row r="151" spans="1:15" ht="21" x14ac:dyDescent="0.35">
      <c r="A151" s="39" t="s">
        <v>430</v>
      </c>
      <c r="B151" s="40"/>
      <c r="C151" s="542"/>
      <c r="D151" s="543" t="s">
        <v>431</v>
      </c>
      <c r="E151" s="597">
        <f>E152</f>
        <v>-157228.01818181819</v>
      </c>
      <c r="F151" s="597">
        <f t="shared" ref="F151" si="73">F152</f>
        <v>-111773.47242921013</v>
      </c>
      <c r="G151" s="675">
        <f>G152</f>
        <v>-78300</v>
      </c>
      <c r="H151" s="597">
        <f>H152</f>
        <v>-234547</v>
      </c>
      <c r="I151" s="597">
        <f t="shared" si="66"/>
        <v>77318.981818181812</v>
      </c>
    </row>
    <row r="152" spans="1:15" ht="21" x14ac:dyDescent="0.35">
      <c r="A152" s="32" t="s">
        <v>432</v>
      </c>
      <c r="B152" s="741" t="s">
        <v>42</v>
      </c>
      <c r="C152" s="524" t="s">
        <v>433</v>
      </c>
      <c r="D152" s="541" t="s">
        <v>63</v>
      </c>
      <c r="E152" s="598">
        <f>-E19/1.1</f>
        <v>-157228.01818181819</v>
      </c>
      <c r="F152" s="598">
        <f t="shared" ref="F152" si="74">-F19/1.1</f>
        <v>-111773.47242921013</v>
      </c>
      <c r="G152" s="663">
        <v>-78300</v>
      </c>
      <c r="H152" s="595">
        <f>-((90772.46)+(143774.54))</f>
        <v>-234547</v>
      </c>
      <c r="I152" s="595">
        <f t="shared" si="66"/>
        <v>77318.981818181812</v>
      </c>
      <c r="J152" s="350"/>
    </row>
    <row r="153" spans="1:15" ht="21" x14ac:dyDescent="0.35">
      <c r="A153" s="26" t="s">
        <v>434</v>
      </c>
      <c r="B153" s="27"/>
      <c r="C153" s="539"/>
      <c r="D153" s="540" t="s">
        <v>435</v>
      </c>
      <c r="E153" s="600">
        <f>SUM(E154:E154)</f>
        <v>-5000</v>
      </c>
      <c r="F153" s="600">
        <f t="shared" ref="F153" si="75">SUM(F154:F154)</f>
        <v>-4999</v>
      </c>
      <c r="G153" s="681">
        <f>SUM(G154:G154)</f>
        <v>-6607.98</v>
      </c>
      <c r="H153" s="600">
        <f>SUM(H154:H154)</f>
        <v>0</v>
      </c>
      <c r="I153" s="600">
        <f t="shared" si="66"/>
        <v>-5000</v>
      </c>
    </row>
    <row r="154" spans="1:15" ht="21" x14ac:dyDescent="0.35">
      <c r="A154" s="32" t="s">
        <v>437</v>
      </c>
      <c r="B154" s="741" t="s">
        <v>67</v>
      </c>
      <c r="C154" s="741" t="s">
        <v>1176</v>
      </c>
      <c r="D154" s="742" t="s">
        <v>1162</v>
      </c>
      <c r="E154" s="608">
        <v>-5000</v>
      </c>
      <c r="F154" s="608">
        <v>-4999</v>
      </c>
      <c r="G154" s="650">
        <f>-1608-4999.98</f>
        <v>-6607.98</v>
      </c>
      <c r="H154" s="610">
        <v>0</v>
      </c>
      <c r="I154" s="610">
        <f t="shared" si="66"/>
        <v>-5000</v>
      </c>
      <c r="J154" t="s">
        <v>1140</v>
      </c>
    </row>
    <row r="155" spans="1:15" ht="21" x14ac:dyDescent="0.35">
      <c r="A155" s="26" t="s">
        <v>451</v>
      </c>
      <c r="B155" s="27"/>
      <c r="C155" s="539"/>
      <c r="D155" s="540" t="s">
        <v>452</v>
      </c>
      <c r="E155" s="600">
        <f>SUM(E156:E158)</f>
        <v>-314286.6608486427</v>
      </c>
      <c r="F155" s="600">
        <f t="shared" ref="F155" si="76">SUM(F156:F158)</f>
        <v>-314287.66084864299</v>
      </c>
      <c r="G155" s="681">
        <f t="shared" ref="G155" si="77">SUM(G156:G158)</f>
        <v>-156127.41</v>
      </c>
      <c r="H155" s="600">
        <f>SUM(H156:H158)</f>
        <v>-322167</v>
      </c>
      <c r="I155" s="600">
        <f t="shared" si="66"/>
        <v>7880.3391513573006</v>
      </c>
      <c r="O155"/>
    </row>
    <row r="156" spans="1:15" ht="21" x14ac:dyDescent="0.35">
      <c r="A156" s="32" t="s">
        <v>455</v>
      </c>
      <c r="B156" s="741" t="s">
        <v>123</v>
      </c>
      <c r="C156" s="524" t="s">
        <v>456</v>
      </c>
      <c r="D156" s="541" t="s">
        <v>457</v>
      </c>
      <c r="E156" s="595">
        <f>-E36-E157</f>
        <v>-224286.6608486427</v>
      </c>
      <c r="F156" s="595">
        <f t="shared" ref="F156" si="78">-F36-F157</f>
        <v>-224287.66084864299</v>
      </c>
      <c r="G156" s="654">
        <f>-24725.47-21658.64-17323.98-13625.34+50.81-18345-15105.9-15937.73-14776.27+1416.37</f>
        <v>-140031.15</v>
      </c>
      <c r="H156" s="595">
        <f>-H36-H157</f>
        <v>-239700</v>
      </c>
      <c r="I156" s="595">
        <f t="shared" si="66"/>
        <v>15413.339151357301</v>
      </c>
      <c r="O156"/>
    </row>
    <row r="157" spans="1:15" ht="21" x14ac:dyDescent="0.35">
      <c r="A157" s="37" t="s">
        <v>458</v>
      </c>
      <c r="B157" s="741" t="s">
        <v>123</v>
      </c>
      <c r="C157" s="524" t="s">
        <v>459</v>
      </c>
      <c r="D157" s="544" t="s">
        <v>460</v>
      </c>
      <c r="E157" s="595">
        <v>-70000</v>
      </c>
      <c r="F157" s="595">
        <v>-70000</v>
      </c>
      <c r="G157" s="654"/>
      <c r="H157" s="595">
        <v>-68300</v>
      </c>
      <c r="I157" s="595">
        <f t="shared" si="66"/>
        <v>-1700</v>
      </c>
      <c r="O157"/>
    </row>
    <row r="158" spans="1:15" ht="21.75" thickBot="1" x14ac:dyDescent="0.4">
      <c r="A158" s="32" t="s">
        <v>461</v>
      </c>
      <c r="B158" s="741" t="s">
        <v>123</v>
      </c>
      <c r="C158" s="559" t="s">
        <v>462</v>
      </c>
      <c r="D158" s="560" t="s">
        <v>463</v>
      </c>
      <c r="E158" s="623">
        <v>-20000</v>
      </c>
      <c r="F158" s="623">
        <v>-20000</v>
      </c>
      <c r="G158" s="654">
        <f>-33.96-33.76-23.4-33-14.2-14.2-18.12-18.12-52.05-30-30-30-30-30-30-30-3.1-30-30-30-30-55.5-30-38.8-51.47-56.56-56.56-30-30-10.6-7.04-1.41-7.12-111.5-115.02-103.99-95.62-50.44-73.25-74.29-72.9-82.41-45.26-82.41-51.28-30-30-30-30-36.1-1.59-2.4-1.83-430-430-13167</f>
        <v>-16096.26</v>
      </c>
      <c r="H158" s="624">
        <f>-13167-1000</f>
        <v>-14167</v>
      </c>
      <c r="I158" s="624">
        <f t="shared" si="66"/>
        <v>-5833</v>
      </c>
      <c r="J158" t="s">
        <v>1144</v>
      </c>
      <c r="O158"/>
    </row>
    <row r="159" spans="1:15" ht="21.75" thickBot="1" x14ac:dyDescent="0.4">
      <c r="A159" s="32"/>
      <c r="B159" s="199"/>
      <c r="C159" s="561" t="s">
        <v>943</v>
      </c>
      <c r="D159" s="562" t="s">
        <v>944</v>
      </c>
      <c r="E159" s="625">
        <v>-1000</v>
      </c>
      <c r="F159" s="625">
        <v>-1000</v>
      </c>
      <c r="G159" s="664"/>
      <c r="H159" s="625">
        <f>-1000</f>
        <v>-1000</v>
      </c>
      <c r="I159" s="625">
        <f t="shared" si="66"/>
        <v>0</v>
      </c>
      <c r="O159" s="137"/>
    </row>
    <row r="160" spans="1:15" ht="21" x14ac:dyDescent="0.35">
      <c r="A160" s="26" t="s">
        <v>465</v>
      </c>
      <c r="B160" s="27"/>
      <c r="C160" s="563"/>
      <c r="D160" s="564" t="s">
        <v>466</v>
      </c>
      <c r="E160" s="626">
        <f>SUM(E161:E165)</f>
        <v>-271326.18</v>
      </c>
      <c r="F160" s="626">
        <f t="shared" ref="F160" si="79">SUM(F161:F165)</f>
        <v>-271326.18</v>
      </c>
      <c r="G160" s="686">
        <f>SUM(G161:G165)</f>
        <v>-100049.78</v>
      </c>
      <c r="H160" s="626">
        <f>SUM(H161:H165)</f>
        <v>-241845.11</v>
      </c>
      <c r="I160" s="626">
        <f t="shared" si="66"/>
        <v>-29481.070000000007</v>
      </c>
      <c r="O160" s="92"/>
    </row>
    <row r="161" spans="1:15" ht="21" x14ac:dyDescent="0.35">
      <c r="A161" s="32" t="s">
        <v>467</v>
      </c>
      <c r="B161" s="741" t="s">
        <v>139</v>
      </c>
      <c r="C161" s="524" t="s">
        <v>468</v>
      </c>
      <c r="D161" s="565" t="s">
        <v>1170</v>
      </c>
      <c r="E161" s="595">
        <v>-199751.18</v>
      </c>
      <c r="F161" s="595">
        <v>-199751.18</v>
      </c>
      <c r="G161" s="654">
        <f>-48807.89-48807.89</f>
        <v>-97615.78</v>
      </c>
      <c r="H161" s="595">
        <f>-195231.56</f>
        <v>-195231.56</v>
      </c>
      <c r="I161" s="595">
        <f t="shared" si="66"/>
        <v>-4519.6199999999953</v>
      </c>
      <c r="J161" s="499"/>
      <c r="O161"/>
    </row>
    <row r="162" spans="1:15" ht="21" x14ac:dyDescent="0.35">
      <c r="A162" s="37"/>
      <c r="B162" s="741" t="s">
        <v>139</v>
      </c>
      <c r="C162" s="524" t="s">
        <v>472</v>
      </c>
      <c r="D162" s="566" t="s">
        <v>1177</v>
      </c>
      <c r="E162" s="595">
        <v>-26970</v>
      </c>
      <c r="F162" s="595">
        <v>-26970</v>
      </c>
      <c r="G162" s="654"/>
      <c r="H162" s="595">
        <v>-840</v>
      </c>
      <c r="I162" s="595">
        <f t="shared" si="66"/>
        <v>-26130</v>
      </c>
      <c r="J162" s="513" t="s">
        <v>1120</v>
      </c>
      <c r="O162" s="92"/>
    </row>
    <row r="163" spans="1:15" ht="21" x14ac:dyDescent="0.35">
      <c r="A163" s="37"/>
      <c r="B163" s="741" t="s">
        <v>139</v>
      </c>
      <c r="C163" s="524" t="s">
        <v>475</v>
      </c>
      <c r="D163" s="566" t="s">
        <v>1178</v>
      </c>
      <c r="E163" s="595">
        <v>-9605</v>
      </c>
      <c r="F163" s="595">
        <v>-9605</v>
      </c>
      <c r="G163" s="662"/>
      <c r="H163" s="595">
        <v>-8274.5499999999993</v>
      </c>
      <c r="I163" s="595">
        <f t="shared" si="66"/>
        <v>-1330.4500000000007</v>
      </c>
      <c r="L163" s="508"/>
      <c r="O163" s="92"/>
    </row>
    <row r="164" spans="1:15" ht="21" x14ac:dyDescent="0.35">
      <c r="A164" s="37"/>
      <c r="B164" s="741" t="s">
        <v>139</v>
      </c>
      <c r="C164" s="524" t="s">
        <v>479</v>
      </c>
      <c r="D164" s="566" t="s">
        <v>1171</v>
      </c>
      <c r="E164" s="595">
        <v>-25000</v>
      </c>
      <c r="F164" s="595">
        <v>-25000</v>
      </c>
      <c r="G164" s="654"/>
      <c r="H164" s="595">
        <v>-27949</v>
      </c>
      <c r="I164" s="595">
        <f t="shared" si="66"/>
        <v>2949</v>
      </c>
      <c r="L164" s="519"/>
    </row>
    <row r="165" spans="1:15" ht="21" x14ac:dyDescent="0.35">
      <c r="A165" s="32" t="s">
        <v>338</v>
      </c>
      <c r="B165" s="741" t="s">
        <v>139</v>
      </c>
      <c r="C165" s="524" t="s">
        <v>768</v>
      </c>
      <c r="D165" s="541" t="s">
        <v>1179</v>
      </c>
      <c r="E165" s="595">
        <v>-10000</v>
      </c>
      <c r="F165" s="595">
        <v>-10000</v>
      </c>
      <c r="G165" s="654">
        <f>-272-2162</f>
        <v>-2434</v>
      </c>
      <c r="H165" s="595">
        <f>-5550-4000</f>
        <v>-9550</v>
      </c>
      <c r="I165" s="595">
        <f t="shared" si="66"/>
        <v>-450</v>
      </c>
      <c r="L165" s="520"/>
    </row>
    <row r="166" spans="1:15" ht="21" x14ac:dyDescent="0.35">
      <c r="A166" s="26" t="s">
        <v>483</v>
      </c>
      <c r="B166" s="27"/>
      <c r="C166" s="539"/>
      <c r="D166" s="540" t="s">
        <v>484</v>
      </c>
      <c r="E166" s="627">
        <f>E167</f>
        <v>-1000</v>
      </c>
      <c r="F166" s="627">
        <f t="shared" ref="F166:G166" si="80">F167</f>
        <v>-999</v>
      </c>
      <c r="G166" s="178">
        <f t="shared" si="80"/>
        <v>-1000</v>
      </c>
      <c r="H166" s="627">
        <f>H167</f>
        <v>-1000</v>
      </c>
      <c r="I166" s="627">
        <f t="shared" si="66"/>
        <v>0</v>
      </c>
      <c r="L166" s="520"/>
    </row>
    <row r="167" spans="1:15" ht="21" x14ac:dyDescent="0.35">
      <c r="A167" s="37" t="s">
        <v>485</v>
      </c>
      <c r="B167" s="741" t="s">
        <v>155</v>
      </c>
      <c r="C167" s="524" t="s">
        <v>486</v>
      </c>
      <c r="D167" s="544" t="s">
        <v>487</v>
      </c>
      <c r="E167" s="595">
        <v>-1000</v>
      </c>
      <c r="F167" s="595">
        <v>-999</v>
      </c>
      <c r="G167" s="654">
        <v>-1000</v>
      </c>
      <c r="H167" s="595">
        <v>-1000</v>
      </c>
      <c r="I167" s="595">
        <f t="shared" si="66"/>
        <v>0</v>
      </c>
      <c r="L167" s="520"/>
    </row>
    <row r="168" spans="1:15" ht="21" x14ac:dyDescent="0.35">
      <c r="A168" s="23" t="s">
        <v>488</v>
      </c>
      <c r="B168" s="24"/>
      <c r="C168" s="537"/>
      <c r="D168" s="538" t="s">
        <v>489</v>
      </c>
      <c r="E168" s="603">
        <f>SUM(E169:E170)</f>
        <v>-30789</v>
      </c>
      <c r="F168" s="603">
        <f t="shared" ref="F168" si="81">SUM(F169:F170)</f>
        <v>-30789</v>
      </c>
      <c r="G168" s="683">
        <f t="shared" ref="G168" si="82">SUM(G169:G170)</f>
        <v>-1350</v>
      </c>
      <c r="H168" s="603">
        <f>SUM(H169:H170)</f>
        <v>-13700</v>
      </c>
      <c r="I168" s="603">
        <f t="shared" si="66"/>
        <v>-17089</v>
      </c>
      <c r="L168" s="508"/>
    </row>
    <row r="169" spans="1:15" ht="21" x14ac:dyDescent="0.35">
      <c r="A169" s="37" t="s">
        <v>490</v>
      </c>
      <c r="B169" s="741" t="s">
        <v>161</v>
      </c>
      <c r="C169" s="524" t="s">
        <v>491</v>
      </c>
      <c r="D169" s="544" t="s">
        <v>492</v>
      </c>
      <c r="E169" s="595">
        <v>-15789</v>
      </c>
      <c r="F169" s="595">
        <v>-15789</v>
      </c>
      <c r="G169" s="664">
        <v>-1350</v>
      </c>
      <c r="H169" s="595">
        <f>-1350*2-11000</f>
        <v>-13700</v>
      </c>
      <c r="I169" s="595">
        <f t="shared" si="66"/>
        <v>-2089</v>
      </c>
      <c r="L169" s="508"/>
    </row>
    <row r="170" spans="1:15" ht="21" x14ac:dyDescent="0.35">
      <c r="A170" s="37"/>
      <c r="B170" s="741" t="s">
        <v>161</v>
      </c>
      <c r="C170" s="524" t="s">
        <v>493</v>
      </c>
      <c r="D170" s="544" t="s">
        <v>168</v>
      </c>
      <c r="E170" s="598">
        <v>-15000</v>
      </c>
      <c r="F170" s="598">
        <v>-15000</v>
      </c>
      <c r="G170" s="650"/>
      <c r="H170" s="595">
        <v>0</v>
      </c>
      <c r="I170" s="595">
        <f t="shared" si="66"/>
        <v>-15000</v>
      </c>
      <c r="J170" s="513" t="s">
        <v>1121</v>
      </c>
    </row>
    <row r="171" spans="1:15" ht="21" x14ac:dyDescent="0.35">
      <c r="A171" s="23" t="s">
        <v>494</v>
      </c>
      <c r="B171" s="24"/>
      <c r="C171" s="537"/>
      <c r="D171" s="538" t="s">
        <v>495</v>
      </c>
      <c r="E171" s="603">
        <f>SUM(E172:E173)</f>
        <v>-40000</v>
      </c>
      <c r="F171" s="603">
        <f t="shared" ref="F171" si="83">SUM(F172:F173)</f>
        <v>-39999</v>
      </c>
      <c r="G171" s="683">
        <f>SUM(G172:G173)</f>
        <v>-18761.02</v>
      </c>
      <c r="H171" s="603">
        <f>SUM(H172:H173)</f>
        <v>-53019.02</v>
      </c>
      <c r="I171" s="603">
        <f t="shared" si="66"/>
        <v>13019.019999999997</v>
      </c>
    </row>
    <row r="172" spans="1:15" ht="21" x14ac:dyDescent="0.35">
      <c r="A172" s="37" t="s">
        <v>497</v>
      </c>
      <c r="B172" s="741" t="s">
        <v>172</v>
      </c>
      <c r="C172" s="524" t="s">
        <v>498</v>
      </c>
      <c r="D172" s="544" t="s">
        <v>499</v>
      </c>
      <c r="E172" s="595">
        <f>-29000-11000</f>
        <v>-40000</v>
      </c>
      <c r="F172" s="595">
        <f t="shared" ref="F172" si="84">-29000-11000</f>
        <v>-40000</v>
      </c>
      <c r="G172" s="654">
        <f>-14661.6-4099.42</f>
        <v>-18761.02</v>
      </c>
      <c r="H172" s="595">
        <f>-29319.6-1600-4099.42-18000</f>
        <v>-53019.02</v>
      </c>
      <c r="I172" s="595">
        <f t="shared" si="66"/>
        <v>13019.019999999997</v>
      </c>
      <c r="J172" s="350" t="s">
        <v>1136</v>
      </c>
    </row>
    <row r="173" spans="1:15" ht="21" x14ac:dyDescent="0.35">
      <c r="A173" s="32" t="s">
        <v>502</v>
      </c>
      <c r="B173" s="741" t="s">
        <v>172</v>
      </c>
      <c r="C173" s="524" t="s">
        <v>503</v>
      </c>
      <c r="D173" s="541" t="s">
        <v>504</v>
      </c>
      <c r="E173" s="595">
        <v>0</v>
      </c>
      <c r="F173" s="595">
        <v>1</v>
      </c>
      <c r="G173" s="654"/>
      <c r="H173" s="595">
        <v>0</v>
      </c>
      <c r="I173" s="595">
        <f t="shared" si="66"/>
        <v>0</v>
      </c>
      <c r="J173" s="509"/>
    </row>
    <row r="174" spans="1:15" ht="21" x14ac:dyDescent="0.35">
      <c r="A174" s="23" t="s">
        <v>510</v>
      </c>
      <c r="B174" s="24"/>
      <c r="C174" s="537"/>
      <c r="D174" s="538" t="s">
        <v>511</v>
      </c>
      <c r="E174" s="603">
        <f>SUM(E175:E176)</f>
        <v>-10000</v>
      </c>
      <c r="F174" s="603">
        <f t="shared" ref="F174" si="85">SUM(F175:F176)</f>
        <v>-10000</v>
      </c>
      <c r="G174" s="683">
        <f t="shared" ref="G174" si="86">SUM(G175:G176)</f>
        <v>-38944.74</v>
      </c>
      <c r="H174" s="603">
        <f>SUM(H175:H176)</f>
        <v>-41779.74</v>
      </c>
      <c r="I174" s="603">
        <f t="shared" si="66"/>
        <v>31779.739999999998</v>
      </c>
      <c r="J174" s="509"/>
    </row>
    <row r="175" spans="1:15" ht="21" x14ac:dyDescent="0.35">
      <c r="A175" s="37" t="s">
        <v>513</v>
      </c>
      <c r="B175" s="741" t="s">
        <v>190</v>
      </c>
      <c r="C175" s="524" t="s">
        <v>514</v>
      </c>
      <c r="D175" s="544" t="s">
        <v>515</v>
      </c>
      <c r="E175" s="595">
        <v>0</v>
      </c>
      <c r="F175" s="595">
        <v>0</v>
      </c>
      <c r="G175" s="654">
        <f>-35304.43-244.74-3395.57</f>
        <v>-38944.74</v>
      </c>
      <c r="H175" s="595">
        <f>-38944.74</f>
        <v>-38944.74</v>
      </c>
      <c r="I175" s="595">
        <f t="shared" si="66"/>
        <v>38944.74</v>
      </c>
      <c r="J175" s="509"/>
      <c r="L175" s="63" t="s">
        <v>529</v>
      </c>
      <c r="M175" s="87"/>
      <c r="N175" s="64"/>
    </row>
    <row r="176" spans="1:15" ht="21" x14ac:dyDescent="0.35">
      <c r="A176" s="32"/>
      <c r="B176" s="741" t="s">
        <v>190</v>
      </c>
      <c r="C176" s="524" t="s">
        <v>518</v>
      </c>
      <c r="D176" s="541" t="s">
        <v>519</v>
      </c>
      <c r="E176" s="595">
        <v>-10000</v>
      </c>
      <c r="F176" s="595">
        <v>-10000</v>
      </c>
      <c r="G176" s="661"/>
      <c r="H176" s="610">
        <f>-(800+1100+800)*1.05</f>
        <v>-2835</v>
      </c>
      <c r="I176" s="610">
        <f t="shared" si="66"/>
        <v>-7165</v>
      </c>
      <c r="J176" s="350" t="s">
        <v>1137</v>
      </c>
      <c r="L176" s="66" t="s">
        <v>985</v>
      </c>
      <c r="M176" s="65">
        <v>-1560</v>
      </c>
      <c r="N176" s="35" t="s">
        <v>988</v>
      </c>
    </row>
    <row r="177" spans="1:14" ht="21" x14ac:dyDescent="0.35">
      <c r="A177" s="23" t="s">
        <v>525</v>
      </c>
      <c r="B177" s="24"/>
      <c r="C177" s="537"/>
      <c r="D177" s="538" t="s">
        <v>526</v>
      </c>
      <c r="E177" s="603">
        <f>E178</f>
        <v>-5000</v>
      </c>
      <c r="F177" s="603">
        <f t="shared" ref="F177" si="87">F178</f>
        <v>-4999</v>
      </c>
      <c r="G177" s="683">
        <f t="shared" ref="G177" si="88">G178</f>
        <v>-13073.84</v>
      </c>
      <c r="H177" s="603">
        <f>H178</f>
        <v>-27892.62</v>
      </c>
      <c r="I177" s="603">
        <f t="shared" si="66"/>
        <v>22892.62</v>
      </c>
      <c r="J177" s="509"/>
      <c r="L177" s="510" t="s">
        <v>984</v>
      </c>
      <c r="M177" s="511">
        <v>-1700</v>
      </c>
      <c r="N177" s="512" t="s">
        <v>972</v>
      </c>
    </row>
    <row r="178" spans="1:14" ht="21" x14ac:dyDescent="0.35">
      <c r="A178" s="37" t="s">
        <v>527</v>
      </c>
      <c r="B178" s="741" t="s">
        <v>227</v>
      </c>
      <c r="C178" s="524" t="s">
        <v>528</v>
      </c>
      <c r="D178" s="544" t="s">
        <v>529</v>
      </c>
      <c r="E178" s="595">
        <v>-5000</v>
      </c>
      <c r="F178" s="595">
        <v>-4999</v>
      </c>
      <c r="G178" s="660">
        <f>-1560-315-95-10800-208-95.84</f>
        <v>-13073.84</v>
      </c>
      <c r="H178" s="612">
        <f>SUM(M176:M183)-2000</f>
        <v>-27892.62</v>
      </c>
      <c r="I178" s="595">
        <f t="shared" si="66"/>
        <v>22892.62</v>
      </c>
      <c r="J178" s="523" t="s">
        <v>1142</v>
      </c>
      <c r="L178" s="510" t="s">
        <v>984</v>
      </c>
      <c r="M178" s="511">
        <v>-406.14</v>
      </c>
      <c r="N178" s="512" t="s">
        <v>986</v>
      </c>
    </row>
    <row r="179" spans="1:14" ht="21" x14ac:dyDescent="0.35">
      <c r="A179" s="23" t="s">
        <v>533</v>
      </c>
      <c r="B179" s="24"/>
      <c r="C179" s="537"/>
      <c r="D179" s="538" t="s">
        <v>534</v>
      </c>
      <c r="E179" s="603">
        <f>SUM(E180:E181)</f>
        <v>-3000</v>
      </c>
      <c r="F179" s="603">
        <f t="shared" ref="F179" si="89">SUM(F180:F181)</f>
        <v>-3000</v>
      </c>
      <c r="G179" s="683">
        <f t="shared" ref="G179" si="90">SUM(G180:G181)</f>
        <v>-1416.37</v>
      </c>
      <c r="H179" s="603">
        <f>SUM(H180:H181)</f>
        <v>-3000</v>
      </c>
      <c r="I179" s="603">
        <f t="shared" si="66"/>
        <v>0</v>
      </c>
      <c r="J179" s="509"/>
      <c r="L179" s="510" t="s">
        <v>973</v>
      </c>
      <c r="M179" s="511">
        <v>-208</v>
      </c>
      <c r="N179" s="512" t="s">
        <v>987</v>
      </c>
    </row>
    <row r="180" spans="1:14" ht="21" x14ac:dyDescent="0.35">
      <c r="A180" s="32" t="s">
        <v>537</v>
      </c>
      <c r="B180" s="741" t="s">
        <v>234</v>
      </c>
      <c r="C180" s="524" t="s">
        <v>538</v>
      </c>
      <c r="D180" s="541" t="s">
        <v>539</v>
      </c>
      <c r="E180" s="595">
        <v>0</v>
      </c>
      <c r="F180" s="595">
        <v>0</v>
      </c>
      <c r="G180" s="661"/>
      <c r="H180" s="595">
        <v>0</v>
      </c>
      <c r="I180" s="595">
        <f t="shared" si="66"/>
        <v>0</v>
      </c>
      <c r="J180" s="509"/>
      <c r="L180" s="510" t="s">
        <v>1118</v>
      </c>
      <c r="M180" s="511">
        <v>-363.64</v>
      </c>
      <c r="N180" s="512" t="s">
        <v>974</v>
      </c>
    </row>
    <row r="181" spans="1:14" ht="21" x14ac:dyDescent="0.35">
      <c r="A181" s="32" t="s">
        <v>542</v>
      </c>
      <c r="B181" s="741" t="s">
        <v>234</v>
      </c>
      <c r="C181" s="524" t="s">
        <v>543</v>
      </c>
      <c r="D181" s="541" t="s">
        <v>544</v>
      </c>
      <c r="E181" s="595">
        <v>-3000</v>
      </c>
      <c r="F181" s="595">
        <v>-3000</v>
      </c>
      <c r="G181" s="650">
        <v>-1416.37</v>
      </c>
      <c r="H181" s="610">
        <v>-3000</v>
      </c>
      <c r="I181" s="610">
        <f t="shared" si="66"/>
        <v>0</v>
      </c>
      <c r="J181" s="350" t="s">
        <v>1085</v>
      </c>
      <c r="L181" s="66" t="s">
        <v>975</v>
      </c>
      <c r="M181" s="65">
        <v>-95.84</v>
      </c>
      <c r="N181" s="35" t="s">
        <v>976</v>
      </c>
    </row>
    <row r="182" spans="1:14" ht="21" x14ac:dyDescent="0.35">
      <c r="A182" s="23" t="s">
        <v>775</v>
      </c>
      <c r="B182" s="24"/>
      <c r="C182" s="537"/>
      <c r="D182" s="538" t="s">
        <v>776</v>
      </c>
      <c r="E182" s="607">
        <f>SUM(E183:E188)</f>
        <v>-30350</v>
      </c>
      <c r="F182" s="607">
        <f t="shared" ref="F182" si="91">SUM(F183:F188)</f>
        <v>-30350</v>
      </c>
      <c r="G182" s="61">
        <f>SUM(G183:G193)</f>
        <v>-17938.669999999998</v>
      </c>
      <c r="H182" s="607">
        <f>SUM(H183:H188)</f>
        <v>-26120.07</v>
      </c>
      <c r="I182" s="607">
        <f t="shared" si="66"/>
        <v>-4229.93</v>
      </c>
      <c r="J182" s="509"/>
      <c r="L182" s="66" t="s">
        <v>979</v>
      </c>
      <c r="M182" s="65">
        <v>-20000</v>
      </c>
      <c r="N182" s="35" t="s">
        <v>989</v>
      </c>
    </row>
    <row r="183" spans="1:14" ht="21" x14ac:dyDescent="0.35">
      <c r="A183" s="32"/>
      <c r="B183" s="741" t="s">
        <v>1158</v>
      </c>
      <c r="C183" s="524" t="s">
        <v>892</v>
      </c>
      <c r="D183" s="541" t="s">
        <v>777</v>
      </c>
      <c r="E183" s="595">
        <v>0</v>
      </c>
      <c r="F183" s="595">
        <v>0</v>
      </c>
      <c r="G183" s="680">
        <f>-5744.62-650-30-5955.6-71</f>
        <v>-12451.220000000001</v>
      </c>
      <c r="H183" s="610">
        <f>-12451.22</f>
        <v>-12451.22</v>
      </c>
      <c r="I183" s="610">
        <f t="shared" si="66"/>
        <v>12451.22</v>
      </c>
      <c r="J183" s="350" t="s">
        <v>1132</v>
      </c>
      <c r="L183" s="510" t="s">
        <v>1117</v>
      </c>
      <c r="M183" s="511">
        <v>-1559</v>
      </c>
      <c r="N183" s="512" t="s">
        <v>1119</v>
      </c>
    </row>
    <row r="184" spans="1:14" ht="21" x14ac:dyDescent="0.35">
      <c r="A184" s="32"/>
      <c r="B184" s="741" t="s">
        <v>1158</v>
      </c>
      <c r="C184" s="524" t="s">
        <v>893</v>
      </c>
      <c r="D184" s="541" t="s">
        <v>1180</v>
      </c>
      <c r="E184" s="595">
        <v>-9350</v>
      </c>
      <c r="F184" s="595">
        <v>-9350</v>
      </c>
      <c r="G184" s="680"/>
      <c r="H184" s="610">
        <v>-3300</v>
      </c>
      <c r="I184" s="610">
        <f t="shared" si="66"/>
        <v>-6050</v>
      </c>
      <c r="J184" s="350" t="s">
        <v>992</v>
      </c>
      <c r="K184" t="s">
        <v>1133</v>
      </c>
    </row>
    <row r="185" spans="1:14" ht="21" x14ac:dyDescent="0.35">
      <c r="A185" s="32"/>
      <c r="B185" s="741" t="s">
        <v>1158</v>
      </c>
      <c r="C185" s="524" t="s">
        <v>894</v>
      </c>
      <c r="D185" s="541" t="s">
        <v>1181</v>
      </c>
      <c r="E185" s="595">
        <v>-1000</v>
      </c>
      <c r="F185" s="595">
        <v>-1000</v>
      </c>
      <c r="G185" s="680"/>
      <c r="H185" s="610">
        <v>-3455</v>
      </c>
      <c r="I185" s="610">
        <f t="shared" si="66"/>
        <v>2455</v>
      </c>
      <c r="J185" s="350" t="s">
        <v>993</v>
      </c>
      <c r="K185" t="s">
        <v>1134</v>
      </c>
    </row>
    <row r="186" spans="1:14" ht="21" x14ac:dyDescent="0.35">
      <c r="A186" s="32"/>
      <c r="B186" s="741" t="s">
        <v>1158</v>
      </c>
      <c r="C186" s="524" t="s">
        <v>895</v>
      </c>
      <c r="D186" s="541" t="s">
        <v>783</v>
      </c>
      <c r="E186" s="595">
        <v>0</v>
      </c>
      <c r="F186" s="595">
        <v>0</v>
      </c>
      <c r="G186" s="664">
        <f>-78.85-4105-1230</f>
        <v>-5413.85</v>
      </c>
      <c r="H186" s="610">
        <f>-4183.85-1230-2000</f>
        <v>-7413.85</v>
      </c>
      <c r="I186" s="610">
        <f t="shared" si="66"/>
        <v>7413.85</v>
      </c>
      <c r="J186" s="350" t="s">
        <v>995</v>
      </c>
      <c r="K186" t="s">
        <v>1134</v>
      </c>
    </row>
    <row r="187" spans="1:14" ht="21" x14ac:dyDescent="0.35">
      <c r="A187" s="32"/>
      <c r="B187" s="741" t="s">
        <v>1158</v>
      </c>
      <c r="C187" s="524" t="s">
        <v>896</v>
      </c>
      <c r="D187" s="541" t="s">
        <v>784</v>
      </c>
      <c r="E187" s="595">
        <v>-15000</v>
      </c>
      <c r="F187" s="595">
        <v>-15000</v>
      </c>
      <c r="G187" s="654">
        <v>-73.599999999999994</v>
      </c>
      <c r="H187" s="595">
        <f>5500</f>
        <v>5500</v>
      </c>
      <c r="I187" s="595">
        <f t="shared" si="66"/>
        <v>-20500</v>
      </c>
      <c r="J187" s="350" t="s">
        <v>1135</v>
      </c>
    </row>
    <row r="188" spans="1:14" ht="21.75" thickBot="1" x14ac:dyDescent="0.4">
      <c r="A188" s="32"/>
      <c r="B188" s="741" t="s">
        <v>1158</v>
      </c>
      <c r="C188" s="559" t="s">
        <v>897</v>
      </c>
      <c r="D188" s="567" t="s">
        <v>934</v>
      </c>
      <c r="E188" s="595">
        <f>-5000</f>
        <v>-5000</v>
      </c>
      <c r="F188" s="595">
        <f t="shared" ref="F188" si="92">-5000</f>
        <v>-5000</v>
      </c>
      <c r="G188" s="661"/>
      <c r="H188" s="595">
        <v>-5000</v>
      </c>
      <c r="I188" s="595">
        <f t="shared" si="66"/>
        <v>0</v>
      </c>
      <c r="J188" s="161" t="s">
        <v>1054</v>
      </c>
    </row>
    <row r="189" spans="1:14" ht="21" x14ac:dyDescent="0.35">
      <c r="A189" s="32"/>
      <c r="B189" s="741" t="s">
        <v>891</v>
      </c>
      <c r="C189" s="551" t="s">
        <v>929</v>
      </c>
      <c r="D189" s="568" t="s">
        <v>935</v>
      </c>
      <c r="E189" s="628"/>
      <c r="F189" s="628"/>
      <c r="G189" s="661"/>
      <c r="H189" s="618"/>
      <c r="I189" s="618">
        <f t="shared" si="66"/>
        <v>0</v>
      </c>
    </row>
    <row r="190" spans="1:14" ht="21" x14ac:dyDescent="0.35">
      <c r="A190" s="32"/>
      <c r="B190" s="741" t="s">
        <v>891</v>
      </c>
      <c r="C190" s="553" t="s">
        <v>930</v>
      </c>
      <c r="D190" s="569" t="s">
        <v>936</v>
      </c>
      <c r="E190" s="629"/>
      <c r="F190" s="629"/>
      <c r="G190" s="659"/>
      <c r="H190" s="618"/>
      <c r="I190" s="618">
        <f t="shared" si="66"/>
        <v>0</v>
      </c>
    </row>
    <row r="191" spans="1:14" ht="21" x14ac:dyDescent="0.35">
      <c r="A191" s="32"/>
      <c r="B191" s="741" t="s">
        <v>891</v>
      </c>
      <c r="C191" s="553" t="s">
        <v>931</v>
      </c>
      <c r="D191" s="569" t="s">
        <v>937</v>
      </c>
      <c r="E191" s="629"/>
      <c r="F191" s="629"/>
      <c r="G191" s="659"/>
      <c r="H191" s="618"/>
      <c r="I191" s="618">
        <f t="shared" si="66"/>
        <v>0</v>
      </c>
    </row>
    <row r="192" spans="1:14" ht="21" x14ac:dyDescent="0.35">
      <c r="A192" s="32"/>
      <c r="B192" s="741" t="s">
        <v>891</v>
      </c>
      <c r="C192" s="553" t="s">
        <v>932</v>
      </c>
      <c r="D192" s="569" t="s">
        <v>938</v>
      </c>
      <c r="E192" s="629"/>
      <c r="F192" s="629"/>
      <c r="G192" s="659"/>
      <c r="H192" s="618"/>
      <c r="I192" s="618">
        <f t="shared" si="66"/>
        <v>0</v>
      </c>
    </row>
    <row r="193" spans="1:16" ht="21.75" thickBot="1" x14ac:dyDescent="0.4">
      <c r="A193" s="32"/>
      <c r="B193" s="741" t="s">
        <v>891</v>
      </c>
      <c r="C193" s="555" t="s">
        <v>933</v>
      </c>
      <c r="D193" s="570" t="s">
        <v>939</v>
      </c>
      <c r="E193" s="630"/>
      <c r="F193" s="630"/>
      <c r="G193" s="659"/>
      <c r="H193" s="618"/>
      <c r="I193" s="618">
        <f t="shared" si="66"/>
        <v>0</v>
      </c>
    </row>
    <row r="194" spans="1:16" ht="21" x14ac:dyDescent="0.35">
      <c r="A194" s="23" t="s">
        <v>786</v>
      </c>
      <c r="B194" s="24"/>
      <c r="C194" s="537"/>
      <c r="D194" s="538" t="s">
        <v>787</v>
      </c>
      <c r="E194" s="607">
        <f>SUM(E195:E197)</f>
        <v>-35000</v>
      </c>
      <c r="F194" s="607">
        <f t="shared" ref="F194" si="93">SUM(F195:F197)</f>
        <v>-35000</v>
      </c>
      <c r="G194" s="186">
        <f>SUM(G195:G201)</f>
        <v>-8102.55</v>
      </c>
      <c r="H194" s="607">
        <f>SUM(H195:H197)</f>
        <v>-80306.595084</v>
      </c>
      <c r="I194" s="607">
        <f t="shared" si="66"/>
        <v>45306.595084</v>
      </c>
    </row>
    <row r="195" spans="1:16" ht="21" x14ac:dyDescent="0.35">
      <c r="A195" s="32"/>
      <c r="B195" s="741" t="s">
        <v>1159</v>
      </c>
      <c r="C195" s="524" t="s">
        <v>879</v>
      </c>
      <c r="D195" s="743" t="s">
        <v>788</v>
      </c>
      <c r="E195" s="631">
        <v>-5000</v>
      </c>
      <c r="F195" s="631">
        <v>-5000</v>
      </c>
      <c r="G195" s="658">
        <v>-1380.95</v>
      </c>
      <c r="H195" s="631">
        <f>((-1098.04-350-650)*1.11)+((-1098.04-350-650)*1.11*0.22*0.5)</f>
        <v>-2584.9950840000001</v>
      </c>
      <c r="I195" s="631">
        <f t="shared" si="66"/>
        <v>-2415.0049159999999</v>
      </c>
      <c r="J195" s="350" t="s">
        <v>1047</v>
      </c>
    </row>
    <row r="196" spans="1:16" ht="21" x14ac:dyDescent="0.35">
      <c r="A196" s="32"/>
      <c r="B196" s="741" t="s">
        <v>1159</v>
      </c>
      <c r="C196" s="741" t="s">
        <v>1164</v>
      </c>
      <c r="D196" s="743" t="s">
        <v>1163</v>
      </c>
      <c r="E196" s="632">
        <v>-5000</v>
      </c>
      <c r="F196" s="632">
        <v>-5000</v>
      </c>
      <c r="G196" s="659">
        <f>-3340.82-2227.45-1153.33</f>
        <v>-6721.6</v>
      </c>
      <c r="H196" s="632">
        <v>-55000</v>
      </c>
      <c r="I196" s="631">
        <f t="shared" si="66"/>
        <v>50000</v>
      </c>
      <c r="J196" s="350"/>
    </row>
    <row r="197" spans="1:16" ht="21.75" thickBot="1" x14ac:dyDescent="0.4">
      <c r="A197" s="32"/>
      <c r="B197" s="741" t="s">
        <v>1159</v>
      </c>
      <c r="C197" s="524" t="s">
        <v>880</v>
      </c>
      <c r="D197" s="743" t="s">
        <v>789</v>
      </c>
      <c r="E197" s="595">
        <v>-25000</v>
      </c>
      <c r="F197" s="595">
        <v>-25000</v>
      </c>
      <c r="G197" s="657"/>
      <c r="H197" s="633">
        <f>-6721.6-16000</f>
        <v>-22721.599999999999</v>
      </c>
      <c r="I197" s="648">
        <f t="shared" si="66"/>
        <v>-2278.4000000000015</v>
      </c>
      <c r="J197" s="350" t="s">
        <v>1116</v>
      </c>
    </row>
    <row r="198" spans="1:16" ht="21" x14ac:dyDescent="0.35">
      <c r="A198" s="32"/>
      <c r="B198" s="741" t="s">
        <v>878</v>
      </c>
      <c r="C198" s="551" t="s">
        <v>882</v>
      </c>
      <c r="D198" s="552" t="s">
        <v>744</v>
      </c>
      <c r="E198" s="634"/>
      <c r="F198" s="634"/>
      <c r="G198" s="659"/>
      <c r="H198" s="616"/>
      <c r="I198" s="616">
        <f t="shared" ref="I198:I251" si="94">+E198-H198</f>
        <v>0</v>
      </c>
    </row>
    <row r="199" spans="1:16" ht="21" x14ac:dyDescent="0.35">
      <c r="A199" s="32"/>
      <c r="B199" s="741" t="s">
        <v>878</v>
      </c>
      <c r="C199" s="553" t="s">
        <v>883</v>
      </c>
      <c r="D199" s="554" t="s">
        <v>745</v>
      </c>
      <c r="E199" s="636"/>
      <c r="F199" s="636"/>
      <c r="G199" s="657"/>
      <c r="H199" s="616"/>
      <c r="I199" s="616">
        <f t="shared" si="94"/>
        <v>0</v>
      </c>
    </row>
    <row r="200" spans="1:16" ht="21" x14ac:dyDescent="0.35">
      <c r="A200" s="32"/>
      <c r="B200" s="741" t="s">
        <v>878</v>
      </c>
      <c r="C200" s="553" t="s">
        <v>905</v>
      </c>
      <c r="D200" s="554" t="s">
        <v>903</v>
      </c>
      <c r="E200" s="635"/>
      <c r="F200" s="635"/>
      <c r="G200" s="659"/>
      <c r="H200" s="616"/>
      <c r="I200" s="616">
        <f t="shared" si="94"/>
        <v>0</v>
      </c>
    </row>
    <row r="201" spans="1:16" ht="21.75" thickBot="1" x14ac:dyDescent="0.4">
      <c r="A201" s="32"/>
      <c r="B201" s="741" t="s">
        <v>878</v>
      </c>
      <c r="C201" s="555" t="s">
        <v>906</v>
      </c>
      <c r="D201" s="556" t="s">
        <v>904</v>
      </c>
      <c r="E201" s="637"/>
      <c r="F201" s="637"/>
      <c r="G201" s="659"/>
      <c r="H201" s="616"/>
      <c r="I201" s="616">
        <f t="shared" si="94"/>
        <v>0</v>
      </c>
    </row>
    <row r="202" spans="1:16" ht="21" x14ac:dyDescent="0.35">
      <c r="A202" s="20" t="s">
        <v>546</v>
      </c>
      <c r="B202" s="21"/>
      <c r="C202" s="573"/>
      <c r="D202" s="574" t="s">
        <v>547</v>
      </c>
      <c r="E202" s="638">
        <f>E203+E220</f>
        <v>-268466.53000000003</v>
      </c>
      <c r="F202" s="638">
        <f t="shared" ref="F202" si="95">F203+F220</f>
        <v>-248724.04</v>
      </c>
      <c r="G202" s="678">
        <f>G203+G220</f>
        <v>-118957.91</v>
      </c>
      <c r="H202" s="638">
        <f>H203+H220</f>
        <v>-230505.79</v>
      </c>
      <c r="I202" s="638">
        <f t="shared" si="94"/>
        <v>-37960.74000000002</v>
      </c>
      <c r="J202" s="649">
        <f>+H202-G202</f>
        <v>-111547.88</v>
      </c>
    </row>
    <row r="203" spans="1:16" ht="21" x14ac:dyDescent="0.35">
      <c r="A203" s="23" t="s">
        <v>550</v>
      </c>
      <c r="B203" s="24"/>
      <c r="C203" s="537"/>
      <c r="D203" s="538" t="s">
        <v>551</v>
      </c>
      <c r="E203" s="639">
        <f>SUM(E204:E219)</f>
        <v>-251566.53</v>
      </c>
      <c r="F203" s="639">
        <f t="shared" ref="F203" si="96">SUM(F204:F219)</f>
        <v>-231824.04</v>
      </c>
      <c r="G203" s="186">
        <f>SUM(G204:G219)</f>
        <v>-114017.91</v>
      </c>
      <c r="H203" s="639">
        <f>SUM(H204:H219)</f>
        <v>-213605.79</v>
      </c>
      <c r="I203" s="639">
        <f t="shared" si="94"/>
        <v>-37960.739999999991</v>
      </c>
      <c r="J203" s="652" t="s">
        <v>1153</v>
      </c>
    </row>
    <row r="204" spans="1:16" ht="21" x14ac:dyDescent="0.35">
      <c r="A204" s="37" t="s">
        <v>554</v>
      </c>
      <c r="B204" s="741" t="s">
        <v>155</v>
      </c>
      <c r="C204" s="524" t="s">
        <v>555</v>
      </c>
      <c r="D204" s="571" t="s">
        <v>556</v>
      </c>
      <c r="E204" s="595">
        <v>-13500</v>
      </c>
      <c r="F204" s="595">
        <v>-13500</v>
      </c>
      <c r="G204" s="664">
        <f>-3426.2+54-3372.2</f>
        <v>-6744.4</v>
      </c>
      <c r="H204" s="595">
        <v>-13500</v>
      </c>
      <c r="I204" s="595">
        <f t="shared" si="94"/>
        <v>0</v>
      </c>
    </row>
    <row r="205" spans="1:16" ht="21" x14ac:dyDescent="0.35">
      <c r="A205" s="32" t="s">
        <v>558</v>
      </c>
      <c r="B205" s="741" t="s">
        <v>155</v>
      </c>
      <c r="C205" s="524" t="s">
        <v>559</v>
      </c>
      <c r="D205" s="565" t="s">
        <v>560</v>
      </c>
      <c r="E205" s="595">
        <v>-12000</v>
      </c>
      <c r="F205" s="595">
        <v>-12000</v>
      </c>
      <c r="G205" s="650">
        <f>-2485.02-2720.13</f>
        <v>-5205.1499999999996</v>
      </c>
      <c r="H205" s="595">
        <v>-10500</v>
      </c>
      <c r="I205" s="595">
        <f t="shared" si="94"/>
        <v>-1500</v>
      </c>
      <c r="K205" s="343">
        <v>2024</v>
      </c>
      <c r="L205"/>
      <c r="M205"/>
      <c r="N205" s="3">
        <v>2024</v>
      </c>
    </row>
    <row r="206" spans="1:16" ht="21" x14ac:dyDescent="0.35">
      <c r="A206" s="37" t="s">
        <v>564</v>
      </c>
      <c r="B206" s="741" t="s">
        <v>155</v>
      </c>
      <c r="C206" s="524" t="s">
        <v>565</v>
      </c>
      <c r="D206" s="571" t="s">
        <v>566</v>
      </c>
      <c r="E206" s="595">
        <v>-15000</v>
      </c>
      <c r="F206" s="595">
        <v>-15000</v>
      </c>
      <c r="G206" s="664"/>
      <c r="H206" s="595">
        <v>-10880</v>
      </c>
      <c r="I206" s="595">
        <f t="shared" si="94"/>
        <v>-4120</v>
      </c>
      <c r="K206" s="101" t="s">
        <v>557</v>
      </c>
      <c r="L206" s="102"/>
      <c r="M206" s="103"/>
      <c r="N206" s="63" t="s">
        <v>561</v>
      </c>
      <c r="O206" s="87"/>
      <c r="P206" s="64"/>
    </row>
    <row r="207" spans="1:16" ht="21" x14ac:dyDescent="0.35">
      <c r="A207" s="32" t="s">
        <v>572</v>
      </c>
      <c r="B207" s="741" t="s">
        <v>155</v>
      </c>
      <c r="C207" s="524" t="s">
        <v>573</v>
      </c>
      <c r="D207" s="565" t="s">
        <v>574</v>
      </c>
      <c r="E207" s="595">
        <v>-10000</v>
      </c>
      <c r="F207" s="595">
        <v>-10000</v>
      </c>
      <c r="G207" s="650">
        <f>-1456-2288</f>
        <v>-3744</v>
      </c>
      <c r="H207" s="595">
        <v>-18841.580000000002</v>
      </c>
      <c r="I207" s="595">
        <f t="shared" si="94"/>
        <v>8841.5800000000017</v>
      </c>
      <c r="K207" s="35" t="s">
        <v>562</v>
      </c>
      <c r="L207" s="65">
        <f>4992/2</f>
        <v>2496</v>
      </c>
      <c r="M207" s="35" t="s">
        <v>1010</v>
      </c>
      <c r="N207" s="66" t="s">
        <v>568</v>
      </c>
      <c r="O207" s="65">
        <v>2288</v>
      </c>
      <c r="P207" s="66" t="s">
        <v>569</v>
      </c>
    </row>
    <row r="208" spans="1:16" ht="21" x14ac:dyDescent="0.35">
      <c r="A208" s="37" t="s">
        <v>579</v>
      </c>
      <c r="B208" s="741" t="s">
        <v>155</v>
      </c>
      <c r="C208" s="524" t="s">
        <v>580</v>
      </c>
      <c r="D208" s="571" t="s">
        <v>581</v>
      </c>
      <c r="E208" s="595">
        <v>-3120</v>
      </c>
      <c r="F208" s="595">
        <v>-3120</v>
      </c>
      <c r="G208" s="664">
        <v>-3120</v>
      </c>
      <c r="H208" s="595">
        <v>-3120</v>
      </c>
      <c r="I208" s="595">
        <f t="shared" si="94"/>
        <v>0</v>
      </c>
      <c r="J208" s="508"/>
      <c r="K208" s="35" t="s">
        <v>571</v>
      </c>
      <c r="L208" s="65">
        <v>2600</v>
      </c>
      <c r="M208" s="35" t="s">
        <v>1010</v>
      </c>
      <c r="N208" s="66" t="s">
        <v>575</v>
      </c>
      <c r="O208" s="65">
        <v>1456</v>
      </c>
      <c r="P208" s="66" t="s">
        <v>576</v>
      </c>
    </row>
    <row r="209" spans="1:16" ht="21" x14ac:dyDescent="0.35">
      <c r="A209" s="32" t="s">
        <v>583</v>
      </c>
      <c r="B209" s="741" t="s">
        <v>155</v>
      </c>
      <c r="C209" s="524" t="s">
        <v>584</v>
      </c>
      <c r="D209" s="565" t="s">
        <v>585</v>
      </c>
      <c r="E209" s="595">
        <v>-2000</v>
      </c>
      <c r="F209" s="595">
        <v>-2000</v>
      </c>
      <c r="G209" s="650">
        <f>-206.56-19.59-98-458.93-93.12-208-230.92</f>
        <v>-1315.12</v>
      </c>
      <c r="H209" s="595">
        <v>-1885.12</v>
      </c>
      <c r="I209" s="595">
        <f t="shared" si="94"/>
        <v>-114.88000000000011</v>
      </c>
      <c r="J209" s="521" t="s">
        <v>1139</v>
      </c>
      <c r="K209" s="340" t="s">
        <v>577</v>
      </c>
      <c r="L209" s="339">
        <v>5000</v>
      </c>
      <c r="M209" s="340" t="s">
        <v>1011</v>
      </c>
      <c r="N209" s="338" t="s">
        <v>575</v>
      </c>
      <c r="O209" s="339">
        <v>3328</v>
      </c>
      <c r="P209" s="338" t="s">
        <v>1122</v>
      </c>
    </row>
    <row r="210" spans="1:16" ht="21" x14ac:dyDescent="0.35">
      <c r="A210" s="37" t="s">
        <v>588</v>
      </c>
      <c r="B210" s="741" t="s">
        <v>155</v>
      </c>
      <c r="C210" s="524" t="s">
        <v>589</v>
      </c>
      <c r="D210" s="571" t="s">
        <v>590</v>
      </c>
      <c r="E210" s="595">
        <v>-15000</v>
      </c>
      <c r="F210" s="595">
        <v>-15000</v>
      </c>
      <c r="G210" s="664">
        <f>-62-3400-600-662.7-234.8-2920-337.5-53-159.2-3080-596.1-408+66-468.6</f>
        <v>-12915.900000000001</v>
      </c>
      <c r="H210" s="595">
        <v>-17915.900000000001</v>
      </c>
      <c r="I210" s="595">
        <f t="shared" si="94"/>
        <v>2915.9000000000015</v>
      </c>
      <c r="K210" s="35" t="s">
        <v>1012</v>
      </c>
      <c r="L210" s="179">
        <v>4784</v>
      </c>
      <c r="M210" s="35" t="s">
        <v>1010</v>
      </c>
      <c r="N210" s="66" t="s">
        <v>957</v>
      </c>
      <c r="O210" s="332">
        <v>832</v>
      </c>
      <c r="P210" s="35" t="s">
        <v>964</v>
      </c>
    </row>
    <row r="211" spans="1:16" ht="21" x14ac:dyDescent="0.35">
      <c r="A211" s="32" t="s">
        <v>594</v>
      </c>
      <c r="B211" s="741" t="s">
        <v>155</v>
      </c>
      <c r="C211" s="524" t="s">
        <v>595</v>
      </c>
      <c r="D211" s="565" t="s">
        <v>596</v>
      </c>
      <c r="E211" s="595">
        <v>-100</v>
      </c>
      <c r="F211" s="595">
        <v>-100</v>
      </c>
      <c r="G211" s="650">
        <v>-8.4499999999999993</v>
      </c>
      <c r="H211" s="595">
        <v>-10</v>
      </c>
      <c r="I211" s="595">
        <f t="shared" si="94"/>
        <v>-90</v>
      </c>
      <c r="N211" s="66" t="s">
        <v>959</v>
      </c>
      <c r="O211" s="65">
        <v>1608</v>
      </c>
      <c r="P211" s="35"/>
    </row>
    <row r="212" spans="1:16" ht="21" x14ac:dyDescent="0.35">
      <c r="A212" s="37" t="s">
        <v>598</v>
      </c>
      <c r="B212" s="741" t="s">
        <v>155</v>
      </c>
      <c r="C212" s="524" t="s">
        <v>599</v>
      </c>
      <c r="D212" s="572" t="s">
        <v>600</v>
      </c>
      <c r="E212" s="608">
        <v>-50000</v>
      </c>
      <c r="F212" s="608">
        <v>-50000</v>
      </c>
      <c r="G212" s="664">
        <f>-30.38-2964.2-2670-51.8-20-613.8-482-107-100-60-40-0.5-5-25-20.27</f>
        <v>-7189.9500000000007</v>
      </c>
      <c r="H212" s="608">
        <f>-7500-35000</f>
        <v>-42500</v>
      </c>
      <c r="I212" s="595">
        <f t="shared" si="94"/>
        <v>-7500</v>
      </c>
      <c r="N212" s="66" t="s">
        <v>959</v>
      </c>
      <c r="O212" s="65">
        <v>392</v>
      </c>
      <c r="P212" s="35"/>
    </row>
    <row r="213" spans="1:16" ht="21" x14ac:dyDescent="0.35">
      <c r="A213" s="32" t="s">
        <v>603</v>
      </c>
      <c r="B213" s="741" t="s">
        <v>155</v>
      </c>
      <c r="C213" s="524" t="s">
        <v>604</v>
      </c>
      <c r="D213" s="565" t="s">
        <v>605</v>
      </c>
      <c r="E213" s="595">
        <v>-42000</v>
      </c>
      <c r="F213" s="595">
        <v>-42000</v>
      </c>
      <c r="G213" s="650">
        <v>-31552.58</v>
      </c>
      <c r="H213" s="595">
        <v>-35000</v>
      </c>
      <c r="I213" s="595">
        <f t="shared" si="94"/>
        <v>-7000</v>
      </c>
      <c r="N213" s="66" t="s">
        <v>442</v>
      </c>
      <c r="O213" s="332">
        <v>1737.6</v>
      </c>
      <c r="P213" s="35" t="s">
        <v>961</v>
      </c>
    </row>
    <row r="214" spans="1:16" ht="21" x14ac:dyDescent="0.35">
      <c r="A214" s="37" t="s">
        <v>607</v>
      </c>
      <c r="B214" s="741" t="s">
        <v>155</v>
      </c>
      <c r="C214" s="524" t="s">
        <v>608</v>
      </c>
      <c r="D214" s="571" t="s">
        <v>609</v>
      </c>
      <c r="E214" s="610">
        <v>-1000</v>
      </c>
      <c r="F214" s="610">
        <v>-1000</v>
      </c>
      <c r="G214" s="664">
        <v>-528.78</v>
      </c>
      <c r="H214" s="610">
        <v>-1000</v>
      </c>
      <c r="I214" s="610">
        <f t="shared" si="94"/>
        <v>0</v>
      </c>
      <c r="N214" s="333" t="s">
        <v>960</v>
      </c>
      <c r="O214" s="332">
        <v>2200</v>
      </c>
      <c r="P214" s="35" t="s">
        <v>965</v>
      </c>
    </row>
    <row r="215" spans="1:16" ht="21" x14ac:dyDescent="0.35">
      <c r="A215" s="37"/>
      <c r="B215" s="741" t="s">
        <v>155</v>
      </c>
      <c r="C215" s="524" t="s">
        <v>611</v>
      </c>
      <c r="D215" s="565" t="s">
        <v>612</v>
      </c>
      <c r="E215" s="610">
        <f>-((648.64+449.02+696.18+585.24+571.34)*12+4500)</f>
        <v>-39905.040000000001</v>
      </c>
      <c r="F215" s="610">
        <f t="shared" ref="F215" si="97">-((648.64+449.02+696.18+585.24+571.34)*12+4500)</f>
        <v>-39905.040000000001</v>
      </c>
      <c r="G215" s="650">
        <f>-1156.58-1156.59-1176.31-449.02-195.11-1852.77-449.02-1852.77-449.02-78.47-1852.77-449.02-71.94-1852.77-449.02-241.37-1852.77-449.02-133.11-1852.77-449.02-169.64-1852.77-449.02-325.59-1852.77-449.02-227.36</f>
        <v>-23795.410000000007</v>
      </c>
      <c r="H215" s="595">
        <f>-((449.02*12)+(17211.34+((1852.77+114.04)*3)))+0.01</f>
        <v>-28500.000000000004</v>
      </c>
      <c r="I215" s="595">
        <f t="shared" si="94"/>
        <v>-11405.039999999997</v>
      </c>
      <c r="J215" t="s">
        <v>1130</v>
      </c>
      <c r="L215">
        <f>(648.64+449.02+696.18+585.24+571.34)*12+4500</f>
        <v>39905.040000000001</v>
      </c>
      <c r="N215" s="66" t="s">
        <v>446</v>
      </c>
      <c r="O215" s="65">
        <v>4999.9799999999996</v>
      </c>
      <c r="P215" s="35" t="s">
        <v>966</v>
      </c>
    </row>
    <row r="216" spans="1:16" ht="21" x14ac:dyDescent="0.35">
      <c r="A216" s="37"/>
      <c r="B216" s="741" t="s">
        <v>155</v>
      </c>
      <c r="C216" s="524" t="s">
        <v>614</v>
      </c>
      <c r="D216" s="565" t="s">
        <v>615</v>
      </c>
      <c r="E216" s="595">
        <v>-25000</v>
      </c>
      <c r="F216" s="595">
        <v>-25000</v>
      </c>
      <c r="G216" s="664">
        <f>-855.6-1153.68-1286.16-828-1186.8-816.96-977.04-877.68-2600</f>
        <v>-10581.920000000002</v>
      </c>
      <c r="H216" s="595">
        <v>-15000</v>
      </c>
      <c r="I216" s="595">
        <f t="shared" si="94"/>
        <v>-10000</v>
      </c>
      <c r="L216" s="3">
        <v>2024</v>
      </c>
      <c r="N216" s="3">
        <v>2025</v>
      </c>
    </row>
    <row r="217" spans="1:16" ht="21" x14ac:dyDescent="0.35">
      <c r="A217" s="37"/>
      <c r="B217" s="741" t="s">
        <v>155</v>
      </c>
      <c r="C217" s="524" t="s">
        <v>617</v>
      </c>
      <c r="D217" s="565" t="s">
        <v>618</v>
      </c>
      <c r="E217" s="595">
        <v>-2500</v>
      </c>
      <c r="F217" s="595">
        <v>-2500</v>
      </c>
      <c r="G217" s="650">
        <f>-210-210-420-210</f>
        <v>-1050</v>
      </c>
      <c r="H217" s="595">
        <v>-2200</v>
      </c>
      <c r="I217" s="595">
        <f t="shared" si="94"/>
        <v>-300</v>
      </c>
      <c r="J217" s="350"/>
      <c r="K217" s="63" t="s">
        <v>794</v>
      </c>
      <c r="L217" s="87"/>
      <c r="N217" s="87"/>
    </row>
    <row r="218" spans="1:16" ht="21" x14ac:dyDescent="0.35">
      <c r="A218" s="37"/>
      <c r="B218" s="741" t="s">
        <v>155</v>
      </c>
      <c r="C218" s="524" t="s">
        <v>793</v>
      </c>
      <c r="D218" s="565" t="s">
        <v>794</v>
      </c>
      <c r="E218" s="595">
        <f>SUM(N218:N224)</f>
        <v>-19741.489999999998</v>
      </c>
      <c r="F218" s="595">
        <f t="shared" ref="F218" si="98">SUM(O218:O224)</f>
        <v>0</v>
      </c>
      <c r="G218" s="650">
        <f>-1900-520-1062.5-1345-625-468.75-125-220</f>
        <v>-6266.25</v>
      </c>
      <c r="H218" s="595">
        <v>-12066.25</v>
      </c>
      <c r="I218" s="595">
        <f t="shared" si="94"/>
        <v>-7675.239999999998</v>
      </c>
      <c r="K218" s="35" t="s">
        <v>1107</v>
      </c>
      <c r="L218" s="65">
        <v>-2640</v>
      </c>
      <c r="M218" s="3" t="s">
        <v>1112</v>
      </c>
      <c r="N218" s="65">
        <v>-800</v>
      </c>
    </row>
    <row r="219" spans="1:16" ht="21" x14ac:dyDescent="0.35">
      <c r="A219" s="37"/>
      <c r="B219" s="741" t="s">
        <v>155</v>
      </c>
      <c r="C219" s="524" t="s">
        <v>940</v>
      </c>
      <c r="D219" s="575" t="s">
        <v>941</v>
      </c>
      <c r="E219" s="640">
        <v>-700</v>
      </c>
      <c r="F219" s="640">
        <v>-699</v>
      </c>
      <c r="G219" s="650"/>
      <c r="H219" s="640">
        <v>-686.94</v>
      </c>
      <c r="I219" s="640">
        <f t="shared" si="94"/>
        <v>-13.059999999999945</v>
      </c>
      <c r="K219" s="35" t="s">
        <v>1108</v>
      </c>
      <c r="L219" s="65">
        <f>-1345-2281.25</f>
        <v>-3626.25</v>
      </c>
      <c r="M219" s="3" t="s">
        <v>1112</v>
      </c>
      <c r="N219" s="65">
        <v>-4500</v>
      </c>
    </row>
    <row r="220" spans="1:16" ht="21" x14ac:dyDescent="0.35">
      <c r="A220" s="23" t="s">
        <v>620</v>
      </c>
      <c r="B220" s="24"/>
      <c r="C220" s="537"/>
      <c r="D220" s="538" t="s">
        <v>621</v>
      </c>
      <c r="E220" s="639">
        <f>SUM(E221:E222)</f>
        <v>-16900</v>
      </c>
      <c r="F220" s="639">
        <f t="shared" ref="F220" si="99">SUM(F221:F222)</f>
        <v>-16900</v>
      </c>
      <c r="G220" s="191">
        <f t="shared" ref="G220" si="100">SUM(G221:G222)</f>
        <v>-4940</v>
      </c>
      <c r="H220" s="639">
        <f>SUM(H221:H222)</f>
        <v>-16900</v>
      </c>
      <c r="I220" s="639">
        <f t="shared" si="94"/>
        <v>0</v>
      </c>
      <c r="K220" s="35" t="s">
        <v>1110</v>
      </c>
      <c r="L220" s="65">
        <v>-100</v>
      </c>
      <c r="M220" s="3" t="s">
        <v>1111</v>
      </c>
      <c r="N220" s="65">
        <v>-1000</v>
      </c>
    </row>
    <row r="221" spans="1:16" ht="21" x14ac:dyDescent="0.35">
      <c r="A221" s="37" t="s">
        <v>624</v>
      </c>
      <c r="B221" s="741" t="s">
        <v>625</v>
      </c>
      <c r="C221" s="524" t="s">
        <v>626</v>
      </c>
      <c r="D221" s="571" t="s">
        <v>627</v>
      </c>
      <c r="E221" s="595">
        <v>-7020</v>
      </c>
      <c r="F221" s="595">
        <v>-7020</v>
      </c>
      <c r="G221" s="654"/>
      <c r="H221" s="595">
        <v>-7020</v>
      </c>
      <c r="I221" s="595">
        <f t="shared" si="94"/>
        <v>0</v>
      </c>
      <c r="K221" s="35" t="s">
        <v>1109</v>
      </c>
      <c r="L221" s="65">
        <v>-500</v>
      </c>
      <c r="M221" s="3" t="s">
        <v>1111</v>
      </c>
      <c r="N221" s="65">
        <v>-3000</v>
      </c>
    </row>
    <row r="222" spans="1:16" ht="21" x14ac:dyDescent="0.35">
      <c r="A222" s="32" t="s">
        <v>629</v>
      </c>
      <c r="B222" s="741" t="s">
        <v>625</v>
      </c>
      <c r="C222" s="524" t="s">
        <v>630</v>
      </c>
      <c r="D222" s="565" t="s">
        <v>631</v>
      </c>
      <c r="E222" s="595">
        <v>-9880</v>
      </c>
      <c r="F222" s="595">
        <v>-9880</v>
      </c>
      <c r="G222" s="650">
        <v>-4940</v>
      </c>
      <c r="H222" s="595">
        <v>-9880</v>
      </c>
      <c r="I222" s="595">
        <f t="shared" si="94"/>
        <v>0</v>
      </c>
      <c r="K222" s="35" t="s">
        <v>1109</v>
      </c>
      <c r="L222" s="65">
        <v>-4400</v>
      </c>
      <c r="M222" s="3" t="s">
        <v>1112</v>
      </c>
      <c r="N222" s="65">
        <v>-1000</v>
      </c>
    </row>
    <row r="223" spans="1:16" ht="21" x14ac:dyDescent="0.35">
      <c r="A223" s="20" t="s">
        <v>633</v>
      </c>
      <c r="B223" s="21"/>
      <c r="C223" s="535"/>
      <c r="D223" s="576" t="s">
        <v>634</v>
      </c>
      <c r="E223" s="609">
        <v>0</v>
      </c>
      <c r="F223" s="609">
        <v>0</v>
      </c>
      <c r="G223" s="678">
        <v>0</v>
      </c>
      <c r="H223" s="609">
        <v>0</v>
      </c>
      <c r="I223" s="609">
        <f t="shared" si="94"/>
        <v>0</v>
      </c>
      <c r="K223" s="35" t="s">
        <v>1113</v>
      </c>
      <c r="L223" s="65"/>
      <c r="M223" s="3" t="s">
        <v>1114</v>
      </c>
      <c r="N223" s="65">
        <f>-5379.49-1065-2997</f>
        <v>-9441.49</v>
      </c>
    </row>
    <row r="224" spans="1:16" ht="21" x14ac:dyDescent="0.35">
      <c r="A224" s="20" t="s">
        <v>636</v>
      </c>
      <c r="B224" s="21"/>
      <c r="C224" s="535"/>
      <c r="D224" s="576" t="s">
        <v>637</v>
      </c>
      <c r="E224" s="609">
        <f>SUM(E225:E226)</f>
        <v>-1325000</v>
      </c>
      <c r="F224" s="609">
        <f t="shared" ref="F224" si="101">SUM(F225:F226)</f>
        <v>-1324999</v>
      </c>
      <c r="G224" s="678">
        <f>SUM(G225:G226)</f>
        <v>-625271.21</v>
      </c>
      <c r="H224" s="609">
        <f>SUM(H225:H226)</f>
        <v>-1150000</v>
      </c>
      <c r="I224" s="609">
        <f t="shared" si="94"/>
        <v>-175000</v>
      </c>
      <c r="K224" s="35" t="s">
        <v>1115</v>
      </c>
      <c r="L224" s="65">
        <v>-800</v>
      </c>
      <c r="M224" s="3" t="s">
        <v>1138</v>
      </c>
      <c r="N224" s="65"/>
    </row>
    <row r="225" spans="1:14" ht="21" x14ac:dyDescent="0.35">
      <c r="A225" s="37" t="s">
        <v>639</v>
      </c>
      <c r="B225" s="741" t="s">
        <v>640</v>
      </c>
      <c r="C225" s="524" t="s">
        <v>641</v>
      </c>
      <c r="D225" s="571" t="s">
        <v>642</v>
      </c>
      <c r="E225" s="595">
        <v>-1325000</v>
      </c>
      <c r="F225" s="595">
        <v>-1324999</v>
      </c>
      <c r="G225" s="654">
        <f>-625413.73+142.52</f>
        <v>-625271.21</v>
      </c>
      <c r="H225" s="595">
        <f>-1150000-H226</f>
        <v>-1090000</v>
      </c>
      <c r="I225" s="595">
        <f t="shared" si="94"/>
        <v>-235000</v>
      </c>
      <c r="J225" s="70">
        <f>+H225-G225</f>
        <v>-464728.79000000004</v>
      </c>
      <c r="K225" s="651" t="s">
        <v>850</v>
      </c>
      <c r="M225" s="3" t="s">
        <v>1145</v>
      </c>
      <c r="N225" s="65">
        <f>-52000*0.07</f>
        <v>-3640.0000000000005</v>
      </c>
    </row>
    <row r="226" spans="1:14" ht="21" x14ac:dyDescent="0.35">
      <c r="A226" s="32" t="s">
        <v>645</v>
      </c>
      <c r="B226" s="741" t="s">
        <v>640</v>
      </c>
      <c r="C226" s="524" t="s">
        <v>646</v>
      </c>
      <c r="D226" s="565" t="s">
        <v>647</v>
      </c>
      <c r="E226" s="595"/>
      <c r="F226" s="595"/>
      <c r="G226" s="654"/>
      <c r="H226" s="641">
        <v>-60000</v>
      </c>
      <c r="I226" s="641">
        <f t="shared" si="94"/>
        <v>60000</v>
      </c>
      <c r="J226" s="70">
        <f>+H226-G226</f>
        <v>-60000</v>
      </c>
      <c r="K226" s="651" t="s">
        <v>829</v>
      </c>
    </row>
    <row r="227" spans="1:14" ht="21" x14ac:dyDescent="0.35">
      <c r="A227" s="20" t="s">
        <v>648</v>
      </c>
      <c r="B227" s="21"/>
      <c r="C227" s="535"/>
      <c r="D227" s="576" t="s">
        <v>649</v>
      </c>
      <c r="E227" s="609">
        <f>SUM(E228:E231)</f>
        <v>-242696.9</v>
      </c>
      <c r="F227" s="609">
        <f t="shared" ref="F227" si="102">SUM(F228:F231)</f>
        <v>-242696.9</v>
      </c>
      <c r="G227" s="678">
        <f t="shared" ref="G227" si="103">SUM(G228:G231)</f>
        <v>-143441.4</v>
      </c>
      <c r="H227" s="609">
        <f>SUM(H228:H231)</f>
        <v>-204567.91</v>
      </c>
      <c r="I227" s="609">
        <f t="shared" si="94"/>
        <v>-38128.989999999991</v>
      </c>
    </row>
    <row r="228" spans="1:14" ht="21" x14ac:dyDescent="0.35">
      <c r="A228" s="32" t="s">
        <v>651</v>
      </c>
      <c r="B228" s="741" t="s">
        <v>652</v>
      </c>
      <c r="C228" s="524" t="s">
        <v>653</v>
      </c>
      <c r="D228" s="565" t="s">
        <v>654</v>
      </c>
      <c r="E228" s="595">
        <v>-38239.71</v>
      </c>
      <c r="F228" s="595">
        <v>-38239.71</v>
      </c>
      <c r="G228" s="688">
        <v>-17277.09</v>
      </c>
      <c r="H228" s="595">
        <v>-30073.71</v>
      </c>
      <c r="I228" s="595">
        <f t="shared" si="94"/>
        <v>-8166</v>
      </c>
      <c r="J228" s="70">
        <f>+H228-G228</f>
        <v>-12796.619999999999</v>
      </c>
      <c r="K228" t="s">
        <v>851</v>
      </c>
    </row>
    <row r="229" spans="1:14" ht="21" x14ac:dyDescent="0.35">
      <c r="A229" s="37" t="s">
        <v>657</v>
      </c>
      <c r="B229" s="741" t="s">
        <v>652</v>
      </c>
      <c r="C229" s="524" t="s">
        <v>658</v>
      </c>
      <c r="D229" s="571" t="s">
        <v>659</v>
      </c>
      <c r="E229" s="595">
        <v>-204457.19</v>
      </c>
      <c r="F229" s="595">
        <v>-204457.19</v>
      </c>
      <c r="G229" s="688">
        <v>-126164.31</v>
      </c>
      <c r="H229" s="595">
        <v>-174494.2</v>
      </c>
      <c r="I229" s="595">
        <f t="shared" si="94"/>
        <v>-29962.989999999991</v>
      </c>
      <c r="J229" s="70">
        <f>+H229-G229</f>
        <v>-48329.890000000014</v>
      </c>
      <c r="K229" t="s">
        <v>852</v>
      </c>
    </row>
    <row r="230" spans="1:14" ht="21" x14ac:dyDescent="0.35">
      <c r="A230" s="32" t="s">
        <v>661</v>
      </c>
      <c r="B230" s="741" t="s">
        <v>652</v>
      </c>
      <c r="C230" s="524" t="s">
        <v>662</v>
      </c>
      <c r="D230" s="565" t="s">
        <v>663</v>
      </c>
      <c r="E230" s="642"/>
      <c r="F230" s="642"/>
      <c r="G230" s="676"/>
      <c r="H230" s="642"/>
      <c r="I230" s="642">
        <f t="shared" si="94"/>
        <v>0</v>
      </c>
    </row>
    <row r="231" spans="1:14" ht="21" x14ac:dyDescent="0.35">
      <c r="A231" s="37" t="s">
        <v>665</v>
      </c>
      <c r="B231" s="741" t="s">
        <v>652</v>
      </c>
      <c r="C231" s="524" t="s">
        <v>666</v>
      </c>
      <c r="D231" s="577" t="s">
        <v>667</v>
      </c>
      <c r="E231" s="643"/>
      <c r="F231" s="643"/>
      <c r="G231" s="195"/>
      <c r="H231" s="643"/>
      <c r="I231" s="643">
        <f t="shared" si="94"/>
        <v>0</v>
      </c>
    </row>
    <row r="232" spans="1:14" ht="21" x14ac:dyDescent="0.35">
      <c r="A232" s="20" t="s">
        <v>669</v>
      </c>
      <c r="B232" s="21"/>
      <c r="C232" s="578"/>
      <c r="D232" s="579" t="s">
        <v>1081</v>
      </c>
      <c r="E232" s="609">
        <f>SUM(E233:E234)</f>
        <v>0</v>
      </c>
      <c r="F232" s="609">
        <f t="shared" ref="F232" si="104">SUM(F233:F234)</f>
        <v>0</v>
      </c>
      <c r="G232" s="678">
        <f t="shared" ref="G232" si="105">G234</f>
        <v>0</v>
      </c>
      <c r="H232" s="609">
        <f>SUM(H233:H234)</f>
        <v>95759.5</v>
      </c>
      <c r="I232" s="609">
        <f t="shared" si="94"/>
        <v>-95759.5</v>
      </c>
    </row>
    <row r="233" spans="1:14" ht="21" x14ac:dyDescent="0.35">
      <c r="A233" s="32"/>
      <c r="B233" s="741" t="s">
        <v>902</v>
      </c>
      <c r="C233" s="741" t="s">
        <v>1165</v>
      </c>
      <c r="D233" s="565" t="s">
        <v>1075</v>
      </c>
      <c r="E233" s="595">
        <v>0</v>
      </c>
      <c r="F233" s="595">
        <v>0</v>
      </c>
      <c r="G233" s="654"/>
      <c r="H233" s="595">
        <v>95759.5</v>
      </c>
      <c r="I233" s="595">
        <f t="shared" si="94"/>
        <v>-95759.5</v>
      </c>
      <c r="J233" s="146">
        <f>+H233</f>
        <v>95759.5</v>
      </c>
      <c r="K233" t="s">
        <v>1154</v>
      </c>
    </row>
    <row r="234" spans="1:14" ht="21" x14ac:dyDescent="0.35">
      <c r="A234" s="37"/>
      <c r="B234" s="741" t="s">
        <v>902</v>
      </c>
      <c r="C234" s="741" t="s">
        <v>1167</v>
      </c>
      <c r="D234" s="577" t="s">
        <v>1074</v>
      </c>
      <c r="E234" s="595"/>
      <c r="F234" s="595"/>
      <c r="G234" s="653"/>
      <c r="H234" s="595">
        <v>0</v>
      </c>
      <c r="I234" s="595">
        <f t="shared" si="94"/>
        <v>0</v>
      </c>
      <c r="J234" t="s">
        <v>1080</v>
      </c>
    </row>
    <row r="235" spans="1:14" ht="21" x14ac:dyDescent="0.35">
      <c r="A235" s="20" t="s">
        <v>672</v>
      </c>
      <c r="B235" s="21"/>
      <c r="C235" s="578"/>
      <c r="D235" s="579" t="s">
        <v>673</v>
      </c>
      <c r="E235" s="609">
        <v>0</v>
      </c>
      <c r="F235" s="609">
        <v>0</v>
      </c>
      <c r="G235" s="656">
        <v>0</v>
      </c>
      <c r="H235" s="609">
        <v>0</v>
      </c>
      <c r="I235" s="609">
        <f t="shared" si="94"/>
        <v>0</v>
      </c>
    </row>
    <row r="236" spans="1:14" ht="21" x14ac:dyDescent="0.35">
      <c r="A236" s="20" t="s">
        <v>675</v>
      </c>
      <c r="B236" s="21"/>
      <c r="C236" s="578"/>
      <c r="D236" s="579" t="s">
        <v>676</v>
      </c>
      <c r="E236" s="609">
        <v>0</v>
      </c>
      <c r="F236" s="609">
        <v>0</v>
      </c>
      <c r="G236" s="678">
        <v>0</v>
      </c>
      <c r="H236" s="609">
        <v>0</v>
      </c>
      <c r="I236" s="609">
        <f t="shared" si="94"/>
        <v>0</v>
      </c>
    </row>
    <row r="237" spans="1:14" ht="21" x14ac:dyDescent="0.35">
      <c r="A237" s="20" t="s">
        <v>678</v>
      </c>
      <c r="B237" s="21"/>
      <c r="C237" s="578"/>
      <c r="D237" s="579" t="s">
        <v>679</v>
      </c>
      <c r="E237" s="609">
        <f>SUM(E238:E244)</f>
        <v>-6000</v>
      </c>
      <c r="F237" s="609">
        <f t="shared" ref="F237" si="106">SUM(F238:F244)</f>
        <v>-6000</v>
      </c>
      <c r="G237" s="678">
        <f>SUM(G238:G244)</f>
        <v>-3339.5200000000004</v>
      </c>
      <c r="H237" s="609">
        <f>SUM(H238:H244)</f>
        <v>-6073.66</v>
      </c>
      <c r="I237" s="609">
        <f t="shared" si="94"/>
        <v>73.659999999999854</v>
      </c>
      <c r="J237" s="70">
        <f>+H237-G237</f>
        <v>-2734.1399999999994</v>
      </c>
    </row>
    <row r="238" spans="1:14" ht="21" x14ac:dyDescent="0.35">
      <c r="A238" s="32" t="s">
        <v>681</v>
      </c>
      <c r="B238" s="741" t="s">
        <v>1160</v>
      </c>
      <c r="C238" s="580" t="s">
        <v>682</v>
      </c>
      <c r="D238" s="581" t="s">
        <v>683</v>
      </c>
      <c r="E238" s="595"/>
      <c r="F238" s="595"/>
      <c r="G238" s="318">
        <v>-0.2</v>
      </c>
      <c r="H238" s="595">
        <v>-0.2</v>
      </c>
      <c r="I238" s="595">
        <f t="shared" si="94"/>
        <v>0.2</v>
      </c>
      <c r="J238" s="269" t="s">
        <v>850</v>
      </c>
    </row>
    <row r="239" spans="1:14" ht="21" x14ac:dyDescent="0.35">
      <c r="A239" s="37" t="s">
        <v>685</v>
      </c>
      <c r="B239" s="741" t="s">
        <v>1160</v>
      </c>
      <c r="C239" s="580" t="s">
        <v>686</v>
      </c>
      <c r="D239" s="582" t="s">
        <v>687</v>
      </c>
      <c r="E239" s="595"/>
      <c r="F239" s="595"/>
      <c r="G239" s="317">
        <v>-359.98</v>
      </c>
      <c r="H239" s="595">
        <v>-500</v>
      </c>
      <c r="I239" s="595">
        <f t="shared" si="94"/>
        <v>500</v>
      </c>
      <c r="J239" s="308" t="s">
        <v>1048</v>
      </c>
      <c r="K239">
        <f>225.3+317</f>
        <v>542.29999999999995</v>
      </c>
    </row>
    <row r="240" spans="1:14" ht="21" x14ac:dyDescent="0.35">
      <c r="A240" s="32" t="s">
        <v>689</v>
      </c>
      <c r="B240" s="741" t="s">
        <v>1160</v>
      </c>
      <c r="C240" s="580" t="s">
        <v>690</v>
      </c>
      <c r="D240" s="581" t="s">
        <v>691</v>
      </c>
      <c r="E240" s="595">
        <v>-5000</v>
      </c>
      <c r="F240" s="595">
        <v>-5000</v>
      </c>
      <c r="G240" s="318">
        <f>-200-478.71</f>
        <v>-678.71</v>
      </c>
      <c r="H240" s="595">
        <v>-4000</v>
      </c>
      <c r="I240" s="595">
        <f t="shared" si="94"/>
        <v>-1000</v>
      </c>
      <c r="J240" s="269"/>
    </row>
    <row r="241" spans="1:11" ht="21" x14ac:dyDescent="0.35">
      <c r="A241" s="37" t="s">
        <v>693</v>
      </c>
      <c r="B241" s="741" t="s">
        <v>1160</v>
      </c>
      <c r="C241" s="580" t="s">
        <v>694</v>
      </c>
      <c r="D241" s="582" t="s">
        <v>695</v>
      </c>
      <c r="E241" s="595"/>
      <c r="F241" s="595"/>
      <c r="G241" s="317">
        <v>-516.46</v>
      </c>
      <c r="H241" s="595">
        <v>-516.46</v>
      </c>
      <c r="I241" s="595">
        <f t="shared" si="94"/>
        <v>516.46</v>
      </c>
      <c r="J241" s="308" t="s">
        <v>1143</v>
      </c>
    </row>
    <row r="242" spans="1:11" ht="21" x14ac:dyDescent="0.35">
      <c r="A242" s="32" t="s">
        <v>697</v>
      </c>
      <c r="B242" s="741" t="s">
        <v>1160</v>
      </c>
      <c r="C242" s="580" t="s">
        <v>698</v>
      </c>
      <c r="D242" s="581" t="s">
        <v>699</v>
      </c>
      <c r="E242" s="595">
        <v>-1000</v>
      </c>
      <c r="F242" s="595">
        <v>-1000</v>
      </c>
      <c r="G242" s="318">
        <f>-664.67-1057</f>
        <v>-1721.67</v>
      </c>
      <c r="H242" s="595">
        <v>-1057</v>
      </c>
      <c r="I242" s="595">
        <f t="shared" si="94"/>
        <v>57</v>
      </c>
      <c r="J242" s="269"/>
    </row>
    <row r="243" spans="1:11" ht="21" x14ac:dyDescent="0.35">
      <c r="A243" s="37" t="s">
        <v>700</v>
      </c>
      <c r="B243" s="741" t="s">
        <v>1160</v>
      </c>
      <c r="C243" s="580" t="s">
        <v>701</v>
      </c>
      <c r="D243" s="582" t="s">
        <v>702</v>
      </c>
      <c r="E243" s="595"/>
      <c r="F243" s="595"/>
      <c r="G243" s="318"/>
      <c r="H243" s="595"/>
      <c r="I243" s="595">
        <f t="shared" si="94"/>
        <v>0</v>
      </c>
    </row>
    <row r="244" spans="1:11" ht="21" x14ac:dyDescent="0.35">
      <c r="A244" s="32" t="s">
        <v>703</v>
      </c>
      <c r="B244" s="741" t="s">
        <v>1160</v>
      </c>
      <c r="C244" s="580" t="s">
        <v>704</v>
      </c>
      <c r="D244" s="581" t="s">
        <v>705</v>
      </c>
      <c r="E244" s="595"/>
      <c r="F244" s="595"/>
      <c r="G244" s="317">
        <v>-62.5</v>
      </c>
      <c r="H244" s="595"/>
      <c r="I244" s="595">
        <f t="shared" si="94"/>
        <v>0</v>
      </c>
    </row>
    <row r="245" spans="1:11" ht="23.25" x14ac:dyDescent="0.35">
      <c r="A245" s="109" t="s">
        <v>706</v>
      </c>
      <c r="B245" s="110"/>
      <c r="C245" s="583"/>
      <c r="D245" s="584" t="s">
        <v>707</v>
      </c>
      <c r="E245" s="644">
        <f>E5+E105</f>
        <v>100927.74944113335</v>
      </c>
      <c r="F245" s="644">
        <f t="shared" ref="F245" si="107">F5+F105</f>
        <v>132979.84677496273</v>
      </c>
      <c r="G245" s="232">
        <f>G5+G105</f>
        <v>398235.26999999955</v>
      </c>
      <c r="H245" s="644">
        <f>H5+H105</f>
        <v>80212.345358622726</v>
      </c>
      <c r="I245" s="644">
        <f t="shared" si="94"/>
        <v>20715.40408251062</v>
      </c>
    </row>
    <row r="246" spans="1:11" ht="21" x14ac:dyDescent="0.35">
      <c r="A246" s="172" t="s">
        <v>708</v>
      </c>
      <c r="B246" s="171"/>
      <c r="C246" s="585"/>
      <c r="D246" s="586" t="s">
        <v>709</v>
      </c>
      <c r="E246" s="645">
        <f t="shared" ref="E246:H247" si="108">E247</f>
        <v>6500</v>
      </c>
      <c r="F246" s="645">
        <f t="shared" si="108"/>
        <v>6501</v>
      </c>
      <c r="G246" s="682">
        <f t="shared" ref="G246:G247" si="109">G247</f>
        <v>11773.59</v>
      </c>
      <c r="H246" s="645">
        <f t="shared" si="108"/>
        <v>13000</v>
      </c>
      <c r="I246" s="645">
        <f t="shared" si="94"/>
        <v>-6500</v>
      </c>
    </row>
    <row r="247" spans="1:11" ht="21" x14ac:dyDescent="0.35">
      <c r="A247" s="20" t="s">
        <v>710</v>
      </c>
      <c r="B247" s="21"/>
      <c r="C247" s="535"/>
      <c r="D247" s="536" t="s">
        <v>711</v>
      </c>
      <c r="E247" s="609">
        <f t="shared" si="108"/>
        <v>6500</v>
      </c>
      <c r="F247" s="609">
        <f t="shared" si="108"/>
        <v>6501</v>
      </c>
      <c r="G247" s="678">
        <f t="shared" si="109"/>
        <v>11773.59</v>
      </c>
      <c r="H247" s="609">
        <f t="shared" si="108"/>
        <v>13000</v>
      </c>
      <c r="I247" s="609">
        <f t="shared" si="94"/>
        <v>-6500</v>
      </c>
    </row>
    <row r="248" spans="1:11" ht="21" x14ac:dyDescent="0.35">
      <c r="A248" s="32" t="s">
        <v>712</v>
      </c>
      <c r="B248" s="741" t="s">
        <v>652</v>
      </c>
      <c r="C248" s="580" t="s">
        <v>945</v>
      </c>
      <c r="D248" s="581" t="s">
        <v>715</v>
      </c>
      <c r="E248" s="595">
        <v>6500</v>
      </c>
      <c r="F248" s="595">
        <v>6501</v>
      </c>
      <c r="G248" s="146">
        <v>11773.59</v>
      </c>
      <c r="H248" s="595">
        <v>13000</v>
      </c>
      <c r="I248" s="595">
        <f t="shared" si="94"/>
        <v>-6500</v>
      </c>
      <c r="J248" s="128">
        <f>+H248-G248</f>
        <v>1226.4099999999999</v>
      </c>
      <c r="K248">
        <v>11773.59</v>
      </c>
    </row>
    <row r="249" spans="1:11" ht="21" x14ac:dyDescent="0.35">
      <c r="A249" s="109" t="s">
        <v>716</v>
      </c>
      <c r="B249" s="110"/>
      <c r="C249" s="583"/>
      <c r="D249" s="584" t="s">
        <v>717</v>
      </c>
      <c r="E249" s="644">
        <f>E245+E246</f>
        <v>107427.74944113335</v>
      </c>
      <c r="F249" s="644">
        <f t="shared" ref="F249" si="110">F245+F246</f>
        <v>139480.84677496273</v>
      </c>
      <c r="G249" s="677">
        <f t="shared" ref="G249" si="111">G245+G246</f>
        <v>410008.85999999958</v>
      </c>
      <c r="H249" s="644">
        <f>H245+H246</f>
        <v>93212.345358622726</v>
      </c>
      <c r="I249" s="644">
        <f t="shared" si="94"/>
        <v>14215.40408251062</v>
      </c>
      <c r="J249" t="s">
        <v>848</v>
      </c>
    </row>
    <row r="250" spans="1:11" ht="21" x14ac:dyDescent="0.35">
      <c r="A250" s="20" t="s">
        <v>718</v>
      </c>
      <c r="B250" s="21"/>
      <c r="C250" s="535"/>
      <c r="D250" s="536" t="s">
        <v>719</v>
      </c>
      <c r="E250" s="609">
        <f>E251</f>
        <v>29005.492349106007</v>
      </c>
      <c r="F250" s="609">
        <f t="shared" ref="F250" si="112">F251</f>
        <v>37659.828629239943</v>
      </c>
      <c r="G250" s="678">
        <f t="shared" ref="G250" si="113">G251</f>
        <v>0</v>
      </c>
      <c r="H250" s="609">
        <f>H251</f>
        <v>25167.333246828137</v>
      </c>
      <c r="I250" s="609">
        <f t="shared" si="94"/>
        <v>3838.1591022778703</v>
      </c>
    </row>
    <row r="251" spans="1:11" ht="21" x14ac:dyDescent="0.35">
      <c r="A251" s="37" t="s">
        <v>720</v>
      </c>
      <c r="B251" s="741" t="s">
        <v>1182</v>
      </c>
      <c r="C251" s="524" t="s">
        <v>1183</v>
      </c>
      <c r="D251" s="544" t="s">
        <v>719</v>
      </c>
      <c r="E251" s="646">
        <f>E249*0.27</f>
        <v>29005.492349106007</v>
      </c>
      <c r="F251" s="646">
        <f t="shared" ref="F251" si="114">F249*0.27</f>
        <v>37659.828629239943</v>
      </c>
      <c r="G251" s="679"/>
      <c r="H251" s="646">
        <f>H249*0.27</f>
        <v>25167.333246828137</v>
      </c>
      <c r="I251" s="646">
        <f t="shared" si="94"/>
        <v>3838.1591022778703</v>
      </c>
      <c r="J251" s="70">
        <f>+H251-G251</f>
        <v>25167.333246828137</v>
      </c>
    </row>
    <row r="252" spans="1:11" ht="21" x14ac:dyDescent="0.35">
      <c r="A252" s="115" t="s">
        <v>722</v>
      </c>
      <c r="B252" s="116"/>
      <c r="C252" s="587"/>
      <c r="D252" s="588" t="s">
        <v>723</v>
      </c>
      <c r="E252" s="647">
        <f>E249-E250</f>
        <v>78422.257092027343</v>
      </c>
      <c r="F252" s="647">
        <f t="shared" ref="F252" si="115">F249-F250</f>
        <v>101821.01814572279</v>
      </c>
      <c r="G252" s="687">
        <f t="shared" ref="G252" si="116">G249+G250</f>
        <v>410008.85999999958</v>
      </c>
      <c r="H252" s="647">
        <f>H249-H250</f>
        <v>68045.012111794582</v>
      </c>
      <c r="I252" s="647">
        <f>+E252-H252</f>
        <v>10377.244980232761</v>
      </c>
      <c r="J252" t="s">
        <v>853</v>
      </c>
    </row>
    <row r="253" spans="1:11" x14ac:dyDescent="0.25">
      <c r="G253" s="70">
        <v>401412.27</v>
      </c>
    </row>
    <row r="254" spans="1:11" x14ac:dyDescent="0.25">
      <c r="G254" s="70">
        <f>+G252-G253</f>
        <v>8596.58999999956</v>
      </c>
    </row>
  </sheetData>
  <mergeCells count="4">
    <mergeCell ref="A1:D1"/>
    <mergeCell ref="K19:M19"/>
    <mergeCell ref="N19:N20"/>
    <mergeCell ref="O19:O20"/>
  </mergeCells>
  <pageMargins left="0.23622047244094491" right="0.23622047244094491" top="0.55118110236220474" bottom="0.55118110236220474" header="0" footer="0"/>
  <pageSetup paperSize="9" scale="52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BEA4-38A8-46AB-9A1C-BEF789785A6C}">
  <sheetPr>
    <pageSetUpPr fitToPage="1"/>
  </sheetPr>
  <dimension ref="A1:J47"/>
  <sheetViews>
    <sheetView topLeftCell="B1" workbookViewId="0">
      <selection activeCell="F30" sqref="F30"/>
    </sheetView>
  </sheetViews>
  <sheetFormatPr defaultRowHeight="15" x14ac:dyDescent="0.25"/>
  <cols>
    <col min="1" max="1" width="54.42578125" customWidth="1"/>
    <col min="2" max="4" width="23.7109375" customWidth="1"/>
    <col min="6" max="6" width="31.85546875" customWidth="1"/>
    <col min="7" max="9" width="21.42578125" customWidth="1"/>
    <col min="10" max="10" width="39.42578125" bestFit="1" customWidth="1"/>
  </cols>
  <sheetData>
    <row r="1" spans="1:10" ht="19.5" x14ac:dyDescent="0.4">
      <c r="A1" s="690"/>
      <c r="B1" s="691"/>
      <c r="C1" s="692"/>
      <c r="D1" s="692"/>
      <c r="E1" s="692"/>
      <c r="F1" s="692"/>
      <c r="G1" s="692"/>
      <c r="H1" s="692"/>
      <c r="I1" s="692"/>
      <c r="J1" s="692"/>
    </row>
    <row r="2" spans="1:10" ht="19.5" x14ac:dyDescent="0.4">
      <c r="A2" s="693" t="s">
        <v>815</v>
      </c>
      <c r="B2" s="694"/>
      <c r="C2" s="692"/>
      <c r="D2" s="692"/>
      <c r="E2" s="692"/>
      <c r="F2" s="692"/>
      <c r="G2" s="692"/>
      <c r="H2" s="692"/>
      <c r="I2" s="692"/>
      <c r="J2" s="692"/>
    </row>
    <row r="3" spans="1:10" ht="20.25" thickBot="1" x14ac:dyDescent="0.45">
      <c r="A3" s="695"/>
      <c r="B3" s="696" t="s">
        <v>816</v>
      </c>
      <c r="C3" s="697"/>
      <c r="D3" s="697"/>
      <c r="E3" s="692"/>
      <c r="F3" s="692"/>
      <c r="G3" s="692"/>
      <c r="H3" s="692"/>
      <c r="I3" s="692"/>
      <c r="J3" s="692"/>
    </row>
    <row r="5" spans="1:10" ht="15.75" x14ac:dyDescent="0.3">
      <c r="A5" s="697" t="s">
        <v>1149</v>
      </c>
    </row>
    <row r="6" spans="1:10" ht="15.75" thickBot="1" x14ac:dyDescent="0.3"/>
    <row r="7" spans="1:10" ht="54.75" thickBot="1" x14ac:dyDescent="0.4">
      <c r="A7" s="698" t="s">
        <v>817</v>
      </c>
      <c r="B7" s="736" t="s">
        <v>1150</v>
      </c>
      <c r="C7" s="699" t="s">
        <v>1151</v>
      </c>
      <c r="D7" s="700" t="s">
        <v>818</v>
      </c>
      <c r="E7" s="701"/>
      <c r="F7" s="698" t="s">
        <v>819</v>
      </c>
      <c r="G7" s="736" t="str">
        <f>+B7</f>
        <v>Valore bilancio contabilità
30.09.2024</v>
      </c>
      <c r="H7" s="699" t="str">
        <f>+C7</f>
        <v>Valore Bilancio al 31.12.2024</v>
      </c>
      <c r="I7" s="700" t="s">
        <v>818</v>
      </c>
      <c r="J7" s="701"/>
    </row>
    <row r="8" spans="1:10" ht="16.5" x14ac:dyDescent="0.3">
      <c r="A8" s="702"/>
      <c r="B8" s="703"/>
      <c r="C8" s="703"/>
      <c r="D8" s="704"/>
      <c r="F8" s="702"/>
      <c r="G8" s="703"/>
      <c r="H8" s="703"/>
      <c r="I8" s="704"/>
    </row>
    <row r="9" spans="1:10" ht="16.5" x14ac:dyDescent="0.3">
      <c r="A9" s="702"/>
      <c r="B9" s="703"/>
      <c r="C9" s="703"/>
      <c r="D9" s="704"/>
      <c r="F9" s="702"/>
      <c r="G9" s="703"/>
      <c r="H9" s="703"/>
      <c r="I9" s="704"/>
    </row>
    <row r="10" spans="1:10" ht="18" x14ac:dyDescent="0.35">
      <c r="A10" s="693" t="s">
        <v>820</v>
      </c>
      <c r="B10" s="705">
        <f>140383.54-85755.7</f>
        <v>54627.840000000011</v>
      </c>
      <c r="C10" s="706">
        <f>+B10+Budget2025!J228</f>
        <v>41831.220000000016</v>
      </c>
      <c r="D10" s="707">
        <v>10395.11</v>
      </c>
      <c r="F10" s="702" t="s">
        <v>821</v>
      </c>
      <c r="G10" s="705">
        <v>1000000</v>
      </c>
      <c r="H10" s="708">
        <v>1000000</v>
      </c>
      <c r="I10" s="709">
        <v>0</v>
      </c>
      <c r="J10" s="697" t="s">
        <v>822</v>
      </c>
    </row>
    <row r="11" spans="1:10" ht="18" x14ac:dyDescent="0.35">
      <c r="A11" s="693"/>
      <c r="B11" s="710"/>
      <c r="C11" s="703"/>
      <c r="D11" s="707">
        <v>0</v>
      </c>
      <c r="F11" s="702" t="s">
        <v>823</v>
      </c>
      <c r="G11" s="705">
        <f>71616.28+164712.77</f>
        <v>236329.05</v>
      </c>
      <c r="H11" s="708">
        <f>+G11</f>
        <v>236329.05</v>
      </c>
      <c r="I11" s="709">
        <v>0</v>
      </c>
    </row>
    <row r="12" spans="1:10" ht="18" x14ac:dyDescent="0.35">
      <c r="A12" s="693" t="s">
        <v>824</v>
      </c>
      <c r="B12" s="705">
        <f>-1887140.89+2774643.51</f>
        <v>887502.61999999988</v>
      </c>
      <c r="C12" s="711">
        <f>+B12+Budget2025!J229</f>
        <v>839172.72999999986</v>
      </c>
      <c r="D12" s="707">
        <v>72421.37</v>
      </c>
      <c r="F12" s="702" t="s">
        <v>825</v>
      </c>
      <c r="G12" s="712">
        <v>401412.27</v>
      </c>
      <c r="H12" s="708">
        <f>+Budget2025!H252</f>
        <v>68045.012111794582</v>
      </c>
      <c r="I12" s="709">
        <v>748611.33048282051</v>
      </c>
      <c r="J12" s="697" t="s">
        <v>822</v>
      </c>
    </row>
    <row r="13" spans="1:10" ht="18" x14ac:dyDescent="0.35">
      <c r="A13" s="702"/>
      <c r="B13" s="705"/>
      <c r="C13" s="706"/>
      <c r="D13" s="707">
        <v>0</v>
      </c>
      <c r="F13" s="735"/>
      <c r="G13" s="705"/>
      <c r="H13" s="708"/>
      <c r="I13" s="709">
        <v>0</v>
      </c>
    </row>
    <row r="14" spans="1:10" ht="18" x14ac:dyDescent="0.35">
      <c r="A14" s="693" t="s">
        <v>826</v>
      </c>
      <c r="B14" s="705"/>
      <c r="C14" s="706"/>
      <c r="D14" s="707">
        <v>0</v>
      </c>
      <c r="F14" s="693" t="s">
        <v>827</v>
      </c>
      <c r="G14" s="705">
        <v>474521.94</v>
      </c>
      <c r="H14" s="708">
        <f>+G14</f>
        <v>474521.94</v>
      </c>
      <c r="I14" s="709">
        <v>0</v>
      </c>
    </row>
    <row r="15" spans="1:10" ht="18" x14ac:dyDescent="0.35">
      <c r="A15" s="702"/>
      <c r="B15" s="706"/>
      <c r="C15" s="706"/>
      <c r="D15" s="707">
        <v>0</v>
      </c>
      <c r="F15" s="702"/>
      <c r="G15" s="705"/>
      <c r="H15" s="708"/>
      <c r="I15" s="709">
        <v>0</v>
      </c>
    </row>
    <row r="16" spans="1:10" ht="18" x14ac:dyDescent="0.35">
      <c r="A16" s="693" t="s">
        <v>828</v>
      </c>
      <c r="B16" s="705"/>
      <c r="C16" s="706">
        <f>+Budget2025!H233</f>
        <v>95759.5</v>
      </c>
      <c r="D16" s="707">
        <v>0</v>
      </c>
      <c r="F16" s="693" t="s">
        <v>829</v>
      </c>
      <c r="G16" s="705">
        <v>288354.09000000003</v>
      </c>
      <c r="H16" s="708">
        <f>+G16-Budget2025!J226</f>
        <v>348354.09</v>
      </c>
      <c r="I16" s="709">
        <v>-38750</v>
      </c>
    </row>
    <row r="17" spans="1:10" ht="18" x14ac:dyDescent="0.35">
      <c r="A17" s="702"/>
      <c r="B17" s="706"/>
      <c r="C17" s="706"/>
      <c r="D17" s="707">
        <v>0</v>
      </c>
      <c r="F17" s="702"/>
      <c r="G17" s="705"/>
      <c r="H17" s="708"/>
      <c r="I17" s="709">
        <v>0</v>
      </c>
    </row>
    <row r="18" spans="1:10" ht="18" x14ac:dyDescent="0.35">
      <c r="A18" s="693" t="s">
        <v>830</v>
      </c>
      <c r="B18" s="730"/>
      <c r="C18" s="706"/>
      <c r="D18" s="707">
        <v>0</v>
      </c>
      <c r="F18" s="735"/>
      <c r="G18" s="705"/>
      <c r="H18" s="708"/>
      <c r="I18" s="709">
        <v>0</v>
      </c>
    </row>
    <row r="19" spans="1:10" ht="18" x14ac:dyDescent="0.35">
      <c r="A19" s="702" t="s">
        <v>831</v>
      </c>
      <c r="B19" s="705">
        <f>41083.16+68932.01</f>
        <v>110015.17</v>
      </c>
      <c r="C19" s="706">
        <f>+B19+Budget2025!J6</f>
        <v>1220843.6804426233</v>
      </c>
      <c r="D19" s="707">
        <v>-1120405.5979230769</v>
      </c>
      <c r="F19" s="693" t="s">
        <v>832</v>
      </c>
      <c r="G19" s="705"/>
      <c r="H19" s="708"/>
      <c r="I19" s="709">
        <v>0</v>
      </c>
    </row>
    <row r="20" spans="1:10" ht="18" x14ac:dyDescent="0.35">
      <c r="A20" s="702" t="s">
        <v>833</v>
      </c>
      <c r="B20" s="705">
        <f>7385.79+134932.47+50445.25</f>
        <v>192763.51</v>
      </c>
      <c r="C20" s="706">
        <f>+B20</f>
        <v>192763.51</v>
      </c>
      <c r="D20" s="707">
        <v>0</v>
      </c>
      <c r="F20" s="702" t="s">
        <v>834</v>
      </c>
      <c r="G20" s="730"/>
      <c r="H20" s="708"/>
      <c r="I20" s="709">
        <v>0</v>
      </c>
    </row>
    <row r="21" spans="1:10" ht="18" x14ac:dyDescent="0.35">
      <c r="A21" s="702" t="s">
        <v>835</v>
      </c>
      <c r="B21" s="705">
        <f>112.3+5336.72</f>
        <v>5449.02</v>
      </c>
      <c r="C21" s="706">
        <f>+B21</f>
        <v>5449.02</v>
      </c>
      <c r="D21" s="707">
        <v>0</v>
      </c>
      <c r="F21" s="702" t="s">
        <v>836</v>
      </c>
      <c r="G21" s="705">
        <f>44208.32+72427.99</f>
        <v>116636.31</v>
      </c>
      <c r="H21" s="713">
        <f>+G21-Budget2025!J106-Budget2025!J202-8596.59</f>
        <v>1207957.3950839995</v>
      </c>
      <c r="I21" s="709">
        <v>-1526384.4666666668</v>
      </c>
    </row>
    <row r="22" spans="1:10" ht="18" x14ac:dyDescent="0.35">
      <c r="A22" s="735"/>
      <c r="B22" s="705"/>
      <c r="C22" s="706"/>
      <c r="D22" s="707">
        <v>0</v>
      </c>
      <c r="F22" s="702" t="s">
        <v>837</v>
      </c>
      <c r="G22" s="705">
        <v>11962.72</v>
      </c>
      <c r="H22" s="713">
        <f>+G22+Budget2025!J251</f>
        <v>37130.053246828138</v>
      </c>
      <c r="I22" s="709">
        <v>-18169.33173923074</v>
      </c>
      <c r="J22" s="697" t="s">
        <v>838</v>
      </c>
    </row>
    <row r="23" spans="1:10" ht="18" x14ac:dyDescent="0.35">
      <c r="A23" s="702"/>
      <c r="B23" s="705"/>
      <c r="C23" s="706"/>
      <c r="D23" s="707">
        <v>0</v>
      </c>
      <c r="F23" s="702" t="s">
        <v>839</v>
      </c>
      <c r="G23" s="705"/>
      <c r="H23" s="708"/>
      <c r="I23" s="709">
        <v>0</v>
      </c>
    </row>
    <row r="24" spans="1:10" ht="18" x14ac:dyDescent="0.35">
      <c r="A24" s="702"/>
      <c r="B24" s="705"/>
      <c r="C24" s="706"/>
      <c r="D24" s="707">
        <v>0</v>
      </c>
      <c r="F24" s="702" t="s">
        <v>840</v>
      </c>
      <c r="G24" s="705"/>
      <c r="H24" s="708"/>
      <c r="I24" s="709">
        <v>0</v>
      </c>
    </row>
    <row r="25" spans="1:10" ht="18" x14ac:dyDescent="0.35">
      <c r="A25" s="702"/>
      <c r="B25" s="705"/>
      <c r="C25" s="706"/>
      <c r="D25" s="707"/>
      <c r="F25" s="702" t="s">
        <v>841</v>
      </c>
      <c r="G25" s="705">
        <f>-2699.67+17513.71</f>
        <v>14814.039999999999</v>
      </c>
      <c r="H25" s="713">
        <f>+G25</f>
        <v>14814.039999999999</v>
      </c>
      <c r="I25" s="709">
        <v>0</v>
      </c>
    </row>
    <row r="26" spans="1:10" ht="18" x14ac:dyDescent="0.35">
      <c r="A26" s="702"/>
      <c r="B26" s="705"/>
      <c r="C26" s="706"/>
      <c r="D26" s="707"/>
      <c r="F26" s="702" t="s">
        <v>842</v>
      </c>
      <c r="G26" s="705">
        <v>47946.96</v>
      </c>
      <c r="H26" s="713">
        <f>+G26</f>
        <v>47946.96</v>
      </c>
      <c r="I26" s="709">
        <v>0</v>
      </c>
    </row>
    <row r="27" spans="1:10" ht="18" x14ac:dyDescent="0.35">
      <c r="A27" s="702"/>
      <c r="B27" s="705"/>
      <c r="C27" s="706"/>
      <c r="D27" s="707">
        <v>0</v>
      </c>
      <c r="F27" s="735">
        <v>64256.29</v>
      </c>
      <c r="G27" s="705"/>
      <c r="H27" s="708"/>
      <c r="I27" s="709">
        <v>0</v>
      </c>
      <c r="J27" s="714"/>
    </row>
    <row r="28" spans="1:10" ht="18" x14ac:dyDescent="0.35">
      <c r="A28" s="715" t="s">
        <v>843</v>
      </c>
      <c r="B28" s="705"/>
      <c r="C28" s="706"/>
      <c r="D28" s="707">
        <v>0</v>
      </c>
      <c r="F28" s="702"/>
      <c r="G28" s="705"/>
      <c r="H28" s="708"/>
      <c r="I28" s="709">
        <v>0</v>
      </c>
    </row>
    <row r="29" spans="1:10" ht="18" x14ac:dyDescent="0.35">
      <c r="A29" s="702"/>
      <c r="B29" s="705"/>
      <c r="C29" s="706"/>
      <c r="D29" s="707">
        <v>0</v>
      </c>
      <c r="F29" s="702"/>
      <c r="G29" s="703"/>
      <c r="H29" s="716"/>
      <c r="I29" s="709">
        <v>0</v>
      </c>
    </row>
    <row r="30" spans="1:10" ht="18" x14ac:dyDescent="0.35">
      <c r="A30" s="693" t="s">
        <v>844</v>
      </c>
      <c r="B30" s="705">
        <v>1321742.9099999999</v>
      </c>
      <c r="C30" s="711">
        <f>+B30</f>
        <v>1321742.9099999999</v>
      </c>
      <c r="D30" s="707">
        <v>0</v>
      </c>
      <c r="F30" s="702"/>
      <c r="G30" s="703"/>
      <c r="H30" s="716"/>
      <c r="I30" s="709">
        <v>0</v>
      </c>
    </row>
    <row r="31" spans="1:10" ht="18" x14ac:dyDescent="0.35">
      <c r="A31" s="702"/>
      <c r="B31" s="705"/>
      <c r="C31" s="706"/>
      <c r="D31" s="707">
        <v>0</v>
      </c>
      <c r="F31" s="702"/>
      <c r="G31" s="703"/>
      <c r="H31" s="716"/>
      <c r="I31" s="709">
        <v>0</v>
      </c>
    </row>
    <row r="32" spans="1:10" ht="18" x14ac:dyDescent="0.35">
      <c r="A32" s="693" t="s">
        <v>845</v>
      </c>
      <c r="B32" s="705">
        <v>29967.06</v>
      </c>
      <c r="C32" s="706">
        <f>+B32+Budget2025!J90+Budget2025!J248</f>
        <v>195089.64999999994</v>
      </c>
      <c r="D32" s="707">
        <v>-106049.49999999994</v>
      </c>
      <c r="F32" s="693" t="s">
        <v>846</v>
      </c>
      <c r="G32" s="717">
        <v>10090.75</v>
      </c>
      <c r="H32" s="716">
        <f>+G32-Budget2025!J225-Budget2025!J237</f>
        <v>477553.68000000005</v>
      </c>
      <c r="I32" s="709">
        <v>-308946.15000000002</v>
      </c>
    </row>
    <row r="33" spans="1:9" ht="18" x14ac:dyDescent="0.35">
      <c r="A33" s="702"/>
      <c r="B33" s="705"/>
      <c r="C33" s="706"/>
      <c r="D33" s="707">
        <v>0</v>
      </c>
      <c r="F33" s="718"/>
      <c r="G33" s="731"/>
      <c r="H33" s="716"/>
      <c r="I33" s="709">
        <v>0</v>
      </c>
    </row>
    <row r="34" spans="1:9" ht="18" x14ac:dyDescent="0.35">
      <c r="A34" s="693"/>
      <c r="B34" s="705"/>
      <c r="C34" s="706"/>
      <c r="D34" s="707">
        <v>0</v>
      </c>
      <c r="F34" s="702"/>
      <c r="G34" s="703"/>
      <c r="H34" s="716"/>
      <c r="I34" s="709">
        <v>0</v>
      </c>
    </row>
    <row r="35" spans="1:9" ht="18.75" x14ac:dyDescent="0.4">
      <c r="A35" s="719"/>
      <c r="B35" s="706"/>
      <c r="C35" s="706"/>
      <c r="D35" s="707">
        <v>0</v>
      </c>
      <c r="F35" s="702"/>
      <c r="G35" s="705"/>
      <c r="H35" s="708"/>
      <c r="I35" s="709">
        <v>0</v>
      </c>
    </row>
    <row r="36" spans="1:9" ht="18" x14ac:dyDescent="0.35">
      <c r="A36" s="693"/>
      <c r="B36" s="705"/>
      <c r="C36" s="705"/>
      <c r="D36" s="707">
        <v>0</v>
      </c>
      <c r="F36" s="702"/>
      <c r="G36" s="705"/>
      <c r="H36" s="708"/>
      <c r="I36" s="709">
        <v>0</v>
      </c>
    </row>
    <row r="37" spans="1:9" ht="18" x14ac:dyDescent="0.35">
      <c r="A37" s="702"/>
      <c r="B37" s="703"/>
      <c r="C37" s="703"/>
      <c r="D37" s="707">
        <v>0</v>
      </c>
      <c r="F37" s="702"/>
      <c r="G37" s="720"/>
      <c r="H37" s="708"/>
      <c r="I37" s="709">
        <v>0</v>
      </c>
    </row>
    <row r="38" spans="1:9" ht="18.75" thickBot="1" x14ac:dyDescent="0.4">
      <c r="A38" s="721"/>
      <c r="B38" s="722"/>
      <c r="C38" s="722"/>
      <c r="D38" s="689">
        <v>0</v>
      </c>
      <c r="F38" s="721"/>
      <c r="G38" s="705"/>
      <c r="H38" s="723"/>
      <c r="I38" s="709">
        <v>0</v>
      </c>
    </row>
    <row r="39" spans="1:9" ht="18.75" thickBot="1" x14ac:dyDescent="0.4">
      <c r="A39" s="701"/>
      <c r="B39" s="732">
        <f>SUM(B9:B33)</f>
        <v>2602068.13</v>
      </c>
      <c r="C39" s="732">
        <f>SUM(C8:C37)</f>
        <v>3912652.2204426224</v>
      </c>
      <c r="D39" s="733">
        <f>+B39-C39</f>
        <v>-1310584.0904426225</v>
      </c>
      <c r="F39" s="701"/>
      <c r="G39" s="737">
        <f>SUM(G9:G37)</f>
        <v>2602068.1300000004</v>
      </c>
      <c r="H39" s="737">
        <f>SUM(H8:H38)</f>
        <v>3912652.2204426229</v>
      </c>
      <c r="I39" s="734">
        <f>+G39-H39</f>
        <v>-1310584.0904426225</v>
      </c>
    </row>
    <row r="40" spans="1:9" ht="15.75" x14ac:dyDescent="0.3">
      <c r="G40" s="724"/>
    </row>
    <row r="41" spans="1:9" ht="15.75" x14ac:dyDescent="0.3">
      <c r="B41" s="725"/>
      <c r="C41" s="726"/>
      <c r="G41" s="727">
        <f>+G39-B39</f>
        <v>0</v>
      </c>
      <c r="H41" s="727">
        <f>+H39-C39</f>
        <v>0</v>
      </c>
    </row>
    <row r="42" spans="1:9" ht="15.75" x14ac:dyDescent="0.3">
      <c r="C42" s="727"/>
      <c r="G42" s="725"/>
      <c r="H42" s="727"/>
    </row>
    <row r="45" spans="1:9" ht="15.75" x14ac:dyDescent="0.3">
      <c r="C45" s="727"/>
    </row>
    <row r="47" spans="1:9" ht="16.5" x14ac:dyDescent="0.35">
      <c r="A47" s="728"/>
      <c r="B47" s="728"/>
      <c r="C47" s="728"/>
      <c r="D47" s="729"/>
    </row>
  </sheetData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AK286"/>
  <sheetViews>
    <sheetView zoomScaleNormal="100" workbookViewId="0">
      <pane xSplit="13" ySplit="3" topLeftCell="N4" activePane="bottomRight" state="frozen"/>
      <selection activeCell="C1" sqref="C1"/>
      <selection pane="topRight" activeCell="N1" sqref="N1"/>
      <selection pane="bottomLeft" activeCell="C4" sqref="C4"/>
      <selection pane="bottomRight" activeCell="S7" sqref="S7"/>
    </sheetView>
  </sheetViews>
  <sheetFormatPr defaultColWidth="8.5703125" defaultRowHeight="15" x14ac:dyDescent="0.25"/>
  <cols>
    <col min="1" max="1" width="4" customWidth="1"/>
    <col min="2" max="2" width="11" style="3" customWidth="1"/>
    <col min="3" max="3" width="14.42578125" style="3" customWidth="1"/>
    <col min="4" max="4" width="75" customWidth="1"/>
    <col min="5" max="5" width="17.42578125" hidden="1" customWidth="1"/>
    <col min="6" max="6" width="20.28515625" hidden="1" customWidth="1"/>
    <col min="7" max="7" width="18" hidden="1" customWidth="1"/>
    <col min="8" max="8" width="22.5703125" hidden="1" customWidth="1"/>
    <col min="9" max="9" width="18" hidden="1" customWidth="1"/>
    <col min="10" max="10" width="23.140625" hidden="1" customWidth="1"/>
    <col min="11" max="11" width="23.42578125" hidden="1" customWidth="1"/>
    <col min="12" max="12" width="21.140625" hidden="1" customWidth="1"/>
    <col min="13" max="13" width="30.42578125" hidden="1" customWidth="1"/>
    <col min="14" max="14" width="16.7109375" customWidth="1"/>
    <col min="15" max="15" width="20.140625" customWidth="1"/>
    <col min="16" max="16" width="17.42578125" customWidth="1"/>
    <col min="17" max="17" width="20.28515625" customWidth="1"/>
    <col min="18" max="18" width="20.42578125" customWidth="1"/>
    <col min="19" max="19" width="39.85546875" style="278" customWidth="1"/>
    <col min="20" max="20" width="33.140625" customWidth="1"/>
    <col min="21" max="21" width="12.5703125" customWidth="1"/>
    <col min="22" max="22" width="15.85546875" customWidth="1"/>
    <col min="23" max="24" width="35.7109375" customWidth="1"/>
    <col min="25" max="25" width="18.140625" customWidth="1"/>
    <col min="26" max="26" width="22.28515625" customWidth="1"/>
    <col min="27" max="27" width="15.42578125" customWidth="1"/>
    <col min="28" max="28" width="40.42578125" customWidth="1"/>
    <col min="29" max="29" width="15.42578125" customWidth="1"/>
    <col min="30" max="30" width="22" customWidth="1"/>
    <col min="31" max="31" width="18.42578125" customWidth="1"/>
    <col min="32" max="32" width="22" customWidth="1"/>
    <col min="33" max="33" width="14.28515625" customWidth="1"/>
    <col min="34" max="34" width="25.5703125" customWidth="1"/>
    <col min="35" max="35" width="32.28515625" customWidth="1"/>
    <col min="36" max="36" width="13.140625" customWidth="1"/>
  </cols>
  <sheetData>
    <row r="1" spans="1:33" ht="18.75" x14ac:dyDescent="0.3">
      <c r="A1" s="761" t="s">
        <v>801</v>
      </c>
      <c r="B1" s="761"/>
      <c r="C1" s="761"/>
      <c r="D1" s="761"/>
      <c r="G1" s="4">
        <v>45155</v>
      </c>
      <c r="H1" s="4" t="s">
        <v>1</v>
      </c>
      <c r="I1" s="4"/>
      <c r="J1" s="5"/>
      <c r="K1" s="5"/>
      <c r="L1" s="291" t="s">
        <v>875</v>
      </c>
      <c r="M1" s="5"/>
      <c r="N1" s="118"/>
      <c r="O1" s="118"/>
      <c r="P1" s="118"/>
      <c r="Q1" s="118"/>
      <c r="R1" s="118"/>
      <c r="S1" s="261"/>
    </row>
    <row r="2" spans="1:33" ht="30" x14ac:dyDescent="0.25">
      <c r="B2" s="6"/>
      <c r="C2" s="6"/>
      <c r="D2" s="7"/>
      <c r="E2" s="2" t="s">
        <v>0</v>
      </c>
      <c r="F2" s="2" t="s">
        <v>2</v>
      </c>
      <c r="G2" s="2" t="s">
        <v>3</v>
      </c>
      <c r="H2" s="2" t="s">
        <v>3</v>
      </c>
      <c r="I2" s="2" t="s">
        <v>814</v>
      </c>
      <c r="J2" s="2" t="s">
        <v>4</v>
      </c>
      <c r="K2" s="2" t="s">
        <v>724</v>
      </c>
      <c r="L2" s="2" t="s">
        <v>5</v>
      </c>
      <c r="M2" s="2" t="s">
        <v>725</v>
      </c>
      <c r="N2" s="119" t="s">
        <v>801</v>
      </c>
      <c r="O2" s="119" t="s">
        <v>908</v>
      </c>
      <c r="P2" s="119" t="s">
        <v>909</v>
      </c>
      <c r="Q2" s="119" t="s">
        <v>910</v>
      </c>
      <c r="R2" s="119" t="s">
        <v>911</v>
      </c>
      <c r="S2" s="262" t="s">
        <v>726</v>
      </c>
    </row>
    <row r="3" spans="1:33" hidden="1" x14ac:dyDescent="0.25">
      <c r="A3" s="8" t="s">
        <v>6</v>
      </c>
      <c r="B3" s="8"/>
      <c r="C3" s="9"/>
      <c r="D3" s="120" t="s">
        <v>7</v>
      </c>
      <c r="E3" s="11" t="s">
        <v>8</v>
      </c>
      <c r="F3" s="11" t="s">
        <v>8</v>
      </c>
      <c r="G3" s="11" t="s">
        <v>8</v>
      </c>
      <c r="H3" s="11" t="s">
        <v>8</v>
      </c>
      <c r="I3" s="11" t="s">
        <v>8</v>
      </c>
      <c r="J3" s="11" t="s">
        <v>8</v>
      </c>
      <c r="K3" s="11" t="s">
        <v>8</v>
      </c>
      <c r="L3" s="11" t="s">
        <v>8</v>
      </c>
      <c r="M3" s="121" t="s">
        <v>8</v>
      </c>
      <c r="N3" s="121" t="s">
        <v>8</v>
      </c>
      <c r="O3" s="121" t="s">
        <v>8</v>
      </c>
      <c r="P3" s="121" t="s">
        <v>8</v>
      </c>
      <c r="Q3" s="121" t="s">
        <v>8</v>
      </c>
      <c r="R3" s="121" t="s">
        <v>8</v>
      </c>
      <c r="S3" s="263"/>
    </row>
    <row r="4" spans="1:33" s="15" customFormat="1" x14ac:dyDescent="0.25">
      <c r="A4" s="12" t="s">
        <v>9</v>
      </c>
      <c r="B4" s="9" t="s">
        <v>10</v>
      </c>
      <c r="C4" s="9" t="s">
        <v>11</v>
      </c>
      <c r="D4" s="13" t="s">
        <v>12</v>
      </c>
      <c r="E4" s="122">
        <f t="shared" ref="E4:M4" si="0">E275</f>
        <v>148013.03761748644</v>
      </c>
      <c r="F4" s="122">
        <f t="shared" si="0"/>
        <v>780029.23000000045</v>
      </c>
      <c r="G4" s="122">
        <f t="shared" si="0"/>
        <v>554682.5</v>
      </c>
      <c r="H4" s="122">
        <f t="shared" si="0"/>
        <v>497082.96000000014</v>
      </c>
      <c r="I4" s="122">
        <f t="shared" si="0"/>
        <v>798745.86999999988</v>
      </c>
      <c r="J4" s="122">
        <f t="shared" si="0"/>
        <v>44204.850628205102</v>
      </c>
      <c r="K4" s="122">
        <f t="shared" si="0"/>
        <v>846076.74999999977</v>
      </c>
      <c r="L4" s="122">
        <f t="shared" si="0"/>
        <v>76274.631256409586</v>
      </c>
      <c r="M4" s="123">
        <f t="shared" si="0"/>
        <v>51821.277265188284</v>
      </c>
      <c r="N4" s="123">
        <f>N275</f>
        <v>56427.031273223925</v>
      </c>
      <c r="O4" s="123">
        <f t="shared" ref="O4:R4" si="1">O275</f>
        <v>1923793.2802622956</v>
      </c>
      <c r="P4" s="123">
        <f t="shared" si="1"/>
        <v>262176.24000000022</v>
      </c>
      <c r="Q4" s="123">
        <f t="shared" si="1"/>
        <v>20121.804321311603</v>
      </c>
      <c r="R4" s="123">
        <f t="shared" si="1"/>
        <v>72505.495042622686</v>
      </c>
      <c r="S4" s="264"/>
      <c r="AE4" s="16"/>
      <c r="AF4" s="15" t="s">
        <v>13</v>
      </c>
    </row>
    <row r="5" spans="1:33" x14ac:dyDescent="0.25">
      <c r="A5" s="17" t="s">
        <v>14</v>
      </c>
      <c r="B5" s="18"/>
      <c r="C5" s="18"/>
      <c r="D5" s="17" t="s">
        <v>15</v>
      </c>
      <c r="E5" s="19">
        <f t="shared" ref="E5:P5" si="2">E6+E98+E99+E100+E101</f>
        <v>3325474.6376174861</v>
      </c>
      <c r="F5" s="19">
        <f t="shared" si="2"/>
        <v>2910899.5100000002</v>
      </c>
      <c r="G5" s="19">
        <f t="shared" si="2"/>
        <v>1258464.32</v>
      </c>
      <c r="H5" s="19">
        <f t="shared" si="2"/>
        <v>940323.15000000014</v>
      </c>
      <c r="I5" s="233">
        <f t="shared" si="2"/>
        <v>1829405.1899999997</v>
      </c>
      <c r="J5" s="19">
        <f t="shared" si="2"/>
        <v>1507842.0689615384</v>
      </c>
      <c r="K5" s="19">
        <f t="shared" si="2"/>
        <v>1753672.9899999998</v>
      </c>
      <c r="L5" s="19">
        <f t="shared" si="2"/>
        <v>3020015.1379230767</v>
      </c>
      <c r="M5" s="19">
        <f t="shared" si="2"/>
        <v>3264337.5822732244</v>
      </c>
      <c r="N5" s="471">
        <f t="shared" si="2"/>
        <v>3639799.3112732242</v>
      </c>
      <c r="O5" s="471">
        <f t="shared" si="2"/>
        <v>3483213.7402622956</v>
      </c>
      <c r="P5" s="471">
        <f t="shared" si="2"/>
        <v>1292463.2100000002</v>
      </c>
      <c r="Q5" s="471">
        <f>Q6+Q99+Q100+Q101</f>
        <v>1552397.5347213116</v>
      </c>
      <c r="R5" s="471">
        <f>R6+R98+R99+R100+R101</f>
        <v>3244860.709442623</v>
      </c>
      <c r="S5" s="265">
        <f>N5-R5</f>
        <v>394938.60183060123</v>
      </c>
    </row>
    <row r="6" spans="1:33" x14ac:dyDescent="0.25">
      <c r="A6" s="20" t="s">
        <v>16</v>
      </c>
      <c r="B6" s="21"/>
      <c r="C6" s="21"/>
      <c r="D6" s="20" t="s">
        <v>17</v>
      </c>
      <c r="E6" s="22">
        <f t="shared" ref="E6:L6" si="3">E7+E51+E55+E60+E69+E71+E73</f>
        <v>3084073.4476174861</v>
      </c>
      <c r="F6" s="22">
        <f t="shared" si="3"/>
        <v>2910899.5100000002</v>
      </c>
      <c r="G6" s="22">
        <f t="shared" si="3"/>
        <v>1193560.4400000002</v>
      </c>
      <c r="H6" s="22">
        <f t="shared" si="3"/>
        <v>929672.35000000009</v>
      </c>
      <c r="I6" s="234">
        <f t="shared" si="3"/>
        <v>1644658.7899999998</v>
      </c>
      <c r="J6" s="22">
        <f t="shared" si="3"/>
        <v>1371106.6939615384</v>
      </c>
      <c r="K6" s="22">
        <f t="shared" si="3"/>
        <v>1669796.2199999997</v>
      </c>
      <c r="L6" s="22">
        <f t="shared" si="3"/>
        <v>2746544.3879230767</v>
      </c>
      <c r="M6" s="22">
        <f t="shared" ref="M6:R6" si="4">M7+M51+M55+M60+M69+M71+M73+M90+M93</f>
        <v>3022936.3922732244</v>
      </c>
      <c r="N6" s="22">
        <f t="shared" si="4"/>
        <v>3398398.1212732242</v>
      </c>
      <c r="O6" s="22">
        <f t="shared" si="4"/>
        <v>3241812.5502622956</v>
      </c>
      <c r="P6" s="22">
        <f t="shared" si="4"/>
        <v>1239348.4400000002</v>
      </c>
      <c r="Q6" s="22">
        <f t="shared" si="4"/>
        <v>1431098.4397213117</v>
      </c>
      <c r="R6" s="22">
        <f t="shared" si="4"/>
        <v>3002262.519442623</v>
      </c>
      <c r="S6" s="266">
        <f>+L6-I6</f>
        <v>1101885.5979230769</v>
      </c>
      <c r="T6" t="s">
        <v>847</v>
      </c>
    </row>
    <row r="7" spans="1:33" x14ac:dyDescent="0.25">
      <c r="A7" s="23" t="s">
        <v>18</v>
      </c>
      <c r="B7" s="24"/>
      <c r="C7" s="24"/>
      <c r="D7" s="23" t="s">
        <v>19</v>
      </c>
      <c r="E7" s="25">
        <f t="shared" ref="E7:R7" si="5">E8+E11+E21+E40+E43+E49</f>
        <v>2228931.378</v>
      </c>
      <c r="F7" s="25">
        <f t="shared" si="5"/>
        <v>2536351.9900000002</v>
      </c>
      <c r="G7" s="25">
        <f t="shared" si="5"/>
        <v>1038874.3800000001</v>
      </c>
      <c r="H7" s="25">
        <f t="shared" si="5"/>
        <v>774986.29</v>
      </c>
      <c r="I7" s="235">
        <f t="shared" si="5"/>
        <v>1487513.73</v>
      </c>
      <c r="J7" s="25">
        <f t="shared" si="5"/>
        <v>1055001.1069999998</v>
      </c>
      <c r="K7" s="25">
        <f t="shared" si="5"/>
        <v>1512655.73</v>
      </c>
      <c r="L7" s="25">
        <f t="shared" si="5"/>
        <v>2114333.2139999997</v>
      </c>
      <c r="M7" s="25">
        <f t="shared" si="5"/>
        <v>1980345.7346065575</v>
      </c>
      <c r="N7" s="25">
        <f t="shared" si="5"/>
        <v>2180884.2186065572</v>
      </c>
      <c r="O7" s="25">
        <f t="shared" si="5"/>
        <v>1896787.5448524591</v>
      </c>
      <c r="P7" s="25">
        <f t="shared" si="5"/>
        <v>866867.16999999993</v>
      </c>
      <c r="Q7" s="25">
        <f t="shared" si="5"/>
        <v>971708.36990983621</v>
      </c>
      <c r="R7" s="25">
        <f t="shared" si="5"/>
        <v>1984129.5398196722</v>
      </c>
      <c r="S7" s="267"/>
    </row>
    <row r="8" spans="1:33" x14ac:dyDescent="0.25">
      <c r="A8" s="26" t="s">
        <v>21</v>
      </c>
      <c r="B8" s="27"/>
      <c r="C8" s="27"/>
      <c r="D8" s="26" t="s">
        <v>22</v>
      </c>
      <c r="E8" s="28">
        <f t="shared" ref="E8:K8" si="6">E9+E10</f>
        <v>441550.92</v>
      </c>
      <c r="F8" s="28">
        <f t="shared" si="6"/>
        <v>442405.04</v>
      </c>
      <c r="G8" s="28">
        <f t="shared" si="6"/>
        <v>260538.42</v>
      </c>
      <c r="H8" s="28">
        <f t="shared" si="6"/>
        <v>260538.42</v>
      </c>
      <c r="I8" s="236">
        <f>I9+I10</f>
        <v>441550.91000000003</v>
      </c>
      <c r="J8" s="28">
        <f t="shared" si="6"/>
        <v>220775.46</v>
      </c>
      <c r="K8" s="28">
        <f t="shared" si="6"/>
        <v>441550.91</v>
      </c>
      <c r="L8" s="28">
        <f>L9+L10</f>
        <v>441550.92</v>
      </c>
      <c r="M8" s="28">
        <f>M9+M10</f>
        <v>475430.74</v>
      </c>
      <c r="N8" s="28">
        <f>N9+N10</f>
        <v>475430.74</v>
      </c>
      <c r="O8" s="28">
        <f t="shared" ref="O8:R8" si="7">O9+O10</f>
        <v>475430.74</v>
      </c>
      <c r="P8" s="28">
        <f t="shared" si="7"/>
        <v>269517.46999999997</v>
      </c>
      <c r="Q8" s="28">
        <f t="shared" si="7"/>
        <v>237715.37</v>
      </c>
      <c r="R8" s="28">
        <f t="shared" si="7"/>
        <v>475430.74</v>
      </c>
      <c r="S8" s="268"/>
      <c r="Z8" s="756" t="s">
        <v>20</v>
      </c>
      <c r="AA8" s="756"/>
      <c r="AB8" s="756"/>
      <c r="AC8" s="756"/>
      <c r="AD8" s="756"/>
    </row>
    <row r="9" spans="1:33" x14ac:dyDescent="0.25">
      <c r="A9" s="32"/>
      <c r="B9" s="6" t="s">
        <v>27</v>
      </c>
      <c r="C9" s="6" t="s">
        <v>28</v>
      </c>
      <c r="D9" s="32" t="s">
        <v>29</v>
      </c>
      <c r="E9" s="33">
        <v>391991.32</v>
      </c>
      <c r="F9" s="33">
        <v>392845.44</v>
      </c>
      <c r="G9" s="33">
        <v>235707.26</v>
      </c>
      <c r="H9" s="33">
        <v>235707.26</v>
      </c>
      <c r="I9" s="33">
        <f>235707.26+156284.05</f>
        <v>391991.31</v>
      </c>
      <c r="J9" s="33">
        <f>E9/2</f>
        <v>195995.66</v>
      </c>
      <c r="K9" s="33">
        <v>391991.31</v>
      </c>
      <c r="L9" s="33">
        <f>E9</f>
        <v>391991.32</v>
      </c>
      <c r="M9" s="33">
        <v>475430.74</v>
      </c>
      <c r="N9" s="33">
        <v>475430.74</v>
      </c>
      <c r="O9" s="33">
        <f>418635.05+26859.87+17338.37+3460.39+5269.54+3867.52</f>
        <v>475430.74</v>
      </c>
      <c r="P9" s="352">
        <v>269517.46999999997</v>
      </c>
      <c r="Q9" s="33">
        <f>R9/2</f>
        <v>237715.37</v>
      </c>
      <c r="R9" s="33">
        <f>418635.05+26859.87+17338.37+3460.39+5269.54+3867.52</f>
        <v>475430.74</v>
      </c>
      <c r="S9" s="269"/>
      <c r="Z9" s="29" t="s">
        <v>23</v>
      </c>
      <c r="AA9" s="30" t="s">
        <v>24</v>
      </c>
      <c r="AB9" s="30"/>
      <c r="AC9" s="31"/>
      <c r="AD9" s="3" t="s">
        <v>23</v>
      </c>
      <c r="AE9" s="30" t="s">
        <v>25</v>
      </c>
      <c r="AF9" s="30" t="s">
        <v>26</v>
      </c>
    </row>
    <row r="10" spans="1:33" hidden="1" x14ac:dyDescent="0.25">
      <c r="A10" s="37"/>
      <c r="B10" s="6" t="s">
        <v>32</v>
      </c>
      <c r="C10" s="310" t="s">
        <v>33</v>
      </c>
      <c r="D10" s="313" t="s">
        <v>34</v>
      </c>
      <c r="E10" s="33">
        <v>49559.6</v>
      </c>
      <c r="F10" s="33">
        <v>49559.6</v>
      </c>
      <c r="G10" s="33">
        <v>24831.16</v>
      </c>
      <c r="H10" s="33">
        <v>24831.16</v>
      </c>
      <c r="I10" s="33">
        <f>24831.16+3240.16+6493.96+10060.16+4934.16</f>
        <v>49559.600000000006</v>
      </c>
      <c r="J10" s="33">
        <f>E10/2</f>
        <v>24779.8</v>
      </c>
      <c r="K10" s="59">
        <v>49559.6</v>
      </c>
      <c r="L10" s="33">
        <f>E10</f>
        <v>49559.6</v>
      </c>
      <c r="M10" s="33">
        <v>0</v>
      </c>
      <c r="N10" s="33">
        <v>0</v>
      </c>
      <c r="O10" s="33">
        <v>0</v>
      </c>
      <c r="P10" s="33">
        <v>0</v>
      </c>
      <c r="Q10" s="33"/>
      <c r="R10" s="33">
        <v>0</v>
      </c>
      <c r="S10" s="308" t="s">
        <v>1035</v>
      </c>
      <c r="Z10" s="34">
        <v>479271.44</v>
      </c>
      <c r="AA10" s="34">
        <f>Z10/1.22</f>
        <v>392845.44262295082</v>
      </c>
      <c r="AB10" s="35" t="s">
        <v>30</v>
      </c>
      <c r="AC10" s="35" t="s">
        <v>31</v>
      </c>
      <c r="AD10" s="124">
        <f>SUM(Z10:Z16)</f>
        <v>918293.76</v>
      </c>
      <c r="AE10" s="36">
        <f>AA10*0.6</f>
        <v>235707.26557377048</v>
      </c>
      <c r="AF10" s="34">
        <f>L9-AE10</f>
        <v>156284.05442622953</v>
      </c>
    </row>
    <row r="11" spans="1:33" x14ac:dyDescent="0.25">
      <c r="A11" s="26" t="s">
        <v>36</v>
      </c>
      <c r="B11" s="27"/>
      <c r="C11" s="27"/>
      <c r="D11" s="26" t="s">
        <v>37</v>
      </c>
      <c r="E11" s="38">
        <f t="shared" ref="E11:M11" si="8">E12+E14+E19</f>
        <v>325438.82799999998</v>
      </c>
      <c r="F11" s="38">
        <f t="shared" si="8"/>
        <v>660549.51</v>
      </c>
      <c r="G11" s="38">
        <f t="shared" si="8"/>
        <v>0</v>
      </c>
      <c r="H11" s="38">
        <f t="shared" si="8"/>
        <v>0</v>
      </c>
      <c r="I11" s="237">
        <f t="shared" si="8"/>
        <v>0</v>
      </c>
      <c r="J11" s="38">
        <f t="shared" si="8"/>
        <v>224173.902</v>
      </c>
      <c r="K11" s="38">
        <f t="shared" si="8"/>
        <v>0</v>
      </c>
      <c r="L11" s="38">
        <f t="shared" si="8"/>
        <v>448347.804</v>
      </c>
      <c r="M11" s="38">
        <f t="shared" si="8"/>
        <v>438711.59100000001</v>
      </c>
      <c r="N11" s="476">
        <f>N12+N14+N19</f>
        <v>618157.60499999998</v>
      </c>
      <c r="O11" s="476">
        <f t="shared" ref="O11:R11" si="9">O12+O14+O19</f>
        <v>644345.179</v>
      </c>
      <c r="P11" s="476">
        <f t="shared" si="9"/>
        <v>0</v>
      </c>
      <c r="Q11" s="476">
        <f t="shared" si="9"/>
        <v>230618.54600000003</v>
      </c>
      <c r="R11" s="476">
        <f t="shared" si="9"/>
        <v>461237.09200000006</v>
      </c>
      <c r="S11" s="70">
        <f>N11-R11</f>
        <v>156920.51299999992</v>
      </c>
      <c r="Z11" s="34">
        <v>372730</v>
      </c>
      <c r="AA11" s="34">
        <f t="shared" ref="AA11:AA19" si="10">Z11/1.22</f>
        <v>305516.39344262297</v>
      </c>
      <c r="AB11" s="35" t="s">
        <v>35</v>
      </c>
      <c r="AC11" s="35" t="s">
        <v>31</v>
      </c>
      <c r="AD11" s="124"/>
      <c r="AE11" s="36">
        <f>AA11*0.5</f>
        <v>152758.19672131148</v>
      </c>
      <c r="AF11" s="34">
        <f>AA11*0.5</f>
        <v>152758.19672131148</v>
      </c>
    </row>
    <row r="12" spans="1:33" x14ac:dyDescent="0.25">
      <c r="A12" s="39" t="s">
        <v>40</v>
      </c>
      <c r="B12" s="40"/>
      <c r="C12" s="40"/>
      <c r="D12" s="39" t="s">
        <v>41</v>
      </c>
      <c r="E12" s="41">
        <f t="shared" ref="E12:L12" si="11">E15</f>
        <v>163934.43</v>
      </c>
      <c r="F12" s="41">
        <f t="shared" si="11"/>
        <v>0</v>
      </c>
      <c r="G12" s="41">
        <f t="shared" si="11"/>
        <v>0</v>
      </c>
      <c r="H12" s="41">
        <f t="shared" si="11"/>
        <v>0</v>
      </c>
      <c r="I12" s="238">
        <f t="shared" si="11"/>
        <v>0</v>
      </c>
      <c r="J12" s="41">
        <f t="shared" si="11"/>
        <v>0</v>
      </c>
      <c r="K12" s="41">
        <f t="shared" si="11"/>
        <v>0</v>
      </c>
      <c r="L12" s="41">
        <f t="shared" si="11"/>
        <v>0</v>
      </c>
      <c r="M12" s="126">
        <f>SUM(M13:M15)</f>
        <v>148422.84599999999</v>
      </c>
      <c r="N12" s="126">
        <f>SUM(N13)</f>
        <v>163934.43</v>
      </c>
      <c r="O12" s="126">
        <f t="shared" ref="O12:R12" si="12">SUM(O13)</f>
        <v>163934.43</v>
      </c>
      <c r="P12" s="126">
        <f t="shared" si="12"/>
        <v>0</v>
      </c>
      <c r="Q12" s="126">
        <f t="shared" si="12"/>
        <v>28083.032999999999</v>
      </c>
      <c r="R12" s="126">
        <f t="shared" si="12"/>
        <v>56166.065999999999</v>
      </c>
      <c r="S12" s="271"/>
      <c r="Z12" s="34">
        <v>6019.68</v>
      </c>
      <c r="AA12" s="34">
        <f t="shared" si="10"/>
        <v>4934.1639344262303</v>
      </c>
      <c r="AB12" s="35" t="s">
        <v>38</v>
      </c>
      <c r="AC12" s="35" t="s">
        <v>31</v>
      </c>
      <c r="AD12" s="124"/>
      <c r="AE12" s="34"/>
      <c r="AF12" s="34">
        <f>AA12</f>
        <v>4934.1639344262303</v>
      </c>
      <c r="AG12" t="s">
        <v>39</v>
      </c>
    </row>
    <row r="13" spans="1:33" x14ac:dyDescent="0.25">
      <c r="A13" s="32"/>
      <c r="B13" s="6" t="s">
        <v>42</v>
      </c>
      <c r="C13" s="6" t="s">
        <v>727</v>
      </c>
      <c r="D13" s="32" t="s">
        <v>728</v>
      </c>
      <c r="E13" s="33">
        <v>0</v>
      </c>
      <c r="F13" s="33">
        <v>0</v>
      </c>
      <c r="G13" s="33">
        <v>0</v>
      </c>
      <c r="H13" s="33">
        <v>0</v>
      </c>
      <c r="I13" s="256"/>
      <c r="J13" s="33">
        <v>0</v>
      </c>
      <c r="K13" s="33">
        <v>0</v>
      </c>
      <c r="L13" s="127">
        <v>0</v>
      </c>
      <c r="M13" s="128">
        <f>-(M164*1.1)</f>
        <v>0</v>
      </c>
      <c r="N13" s="128">
        <f>-(N164*1.1)</f>
        <v>163934.43</v>
      </c>
      <c r="O13" s="128">
        <v>163934.43</v>
      </c>
      <c r="P13" s="128">
        <v>0</v>
      </c>
      <c r="Q13" s="33">
        <f>R13/2</f>
        <v>28083.032999999999</v>
      </c>
      <c r="R13" s="128">
        <f>-(R164*1.1+(5000*1.1))</f>
        <v>56166.065999999999</v>
      </c>
      <c r="S13" s="308" t="s">
        <v>951</v>
      </c>
      <c r="Z13" s="34">
        <v>19806.560000000001</v>
      </c>
      <c r="AA13" s="34">
        <f t="shared" si="10"/>
        <v>16234.885245901642</v>
      </c>
      <c r="AB13" s="35" t="s">
        <v>38</v>
      </c>
      <c r="AC13" s="35" t="s">
        <v>31</v>
      </c>
      <c r="AD13" s="124"/>
      <c r="AE13" s="36">
        <f>AA13*0.6</f>
        <v>9740.931147540985</v>
      </c>
      <c r="AF13" s="34">
        <f>AA13*0.4</f>
        <v>6493.9540983606566</v>
      </c>
    </row>
    <row r="14" spans="1:33" x14ac:dyDescent="0.25">
      <c r="A14" s="39" t="s">
        <v>45</v>
      </c>
      <c r="B14" s="40"/>
      <c r="C14" s="40"/>
      <c r="D14" s="39" t="s">
        <v>46</v>
      </c>
      <c r="E14" s="41">
        <f t="shared" ref="E14:M14" si="13">SUM(E16:E18)</f>
        <v>161504.39800000002</v>
      </c>
      <c r="F14" s="41">
        <f t="shared" si="13"/>
        <v>61444.649999999994</v>
      </c>
      <c r="G14" s="41">
        <f t="shared" si="13"/>
        <v>0</v>
      </c>
      <c r="H14" s="41">
        <f t="shared" si="13"/>
        <v>0</v>
      </c>
      <c r="I14" s="238">
        <f t="shared" ref="I14" si="14">SUM(I16:I18)</f>
        <v>0</v>
      </c>
      <c r="J14" s="41">
        <f t="shared" si="13"/>
        <v>61886.022000000004</v>
      </c>
      <c r="K14" s="41">
        <f t="shared" si="13"/>
        <v>0</v>
      </c>
      <c r="L14" s="41">
        <f>SUM(L16:L18)</f>
        <v>123772.04400000001</v>
      </c>
      <c r="M14" s="129">
        <f t="shared" si="13"/>
        <v>33668.745000000003</v>
      </c>
      <c r="N14" s="129">
        <f>SUM(N15:N18)</f>
        <v>197603.17499999999</v>
      </c>
      <c r="O14" s="129">
        <f t="shared" ref="O14:R14" si="15">SUM(O15:O18)</f>
        <v>234510.74900000001</v>
      </c>
      <c r="P14" s="129">
        <f t="shared" si="15"/>
        <v>0</v>
      </c>
      <c r="Q14" s="129">
        <f t="shared" si="15"/>
        <v>80723.390000000014</v>
      </c>
      <c r="R14" s="129">
        <f t="shared" si="15"/>
        <v>161446.78000000003</v>
      </c>
      <c r="S14" s="271"/>
      <c r="Z14" s="34">
        <v>3953</v>
      </c>
      <c r="AA14" s="34">
        <f t="shared" si="10"/>
        <v>3240.1639344262294</v>
      </c>
      <c r="AB14" s="35" t="s">
        <v>38</v>
      </c>
      <c r="AC14" s="35" t="s">
        <v>31</v>
      </c>
      <c r="AD14" s="124"/>
      <c r="AE14" s="34"/>
      <c r="AF14" s="34">
        <f>AA14</f>
        <v>3240.1639344262294</v>
      </c>
      <c r="AG14" t="s">
        <v>47</v>
      </c>
    </row>
    <row r="15" spans="1:33" x14ac:dyDescent="0.25">
      <c r="A15" s="32"/>
      <c r="B15" s="6" t="s">
        <v>42</v>
      </c>
      <c r="C15" s="6" t="s">
        <v>43</v>
      </c>
      <c r="D15" s="32" t="s">
        <v>44</v>
      </c>
      <c r="E15" s="33">
        <v>163934.43</v>
      </c>
      <c r="F15" s="33">
        <v>0</v>
      </c>
      <c r="G15" s="33">
        <v>0</v>
      </c>
      <c r="H15" s="33">
        <v>0</v>
      </c>
      <c r="I15" s="33"/>
      <c r="J15" s="33">
        <v>0</v>
      </c>
      <c r="K15" s="33">
        <v>0</v>
      </c>
      <c r="L15" s="127">
        <v>0</v>
      </c>
      <c r="M15" s="128">
        <f>-(M166*1.1)</f>
        <v>114754.101</v>
      </c>
      <c r="N15" s="128">
        <f>-(N166*1.1)</f>
        <v>163934.43</v>
      </c>
      <c r="O15" s="128">
        <v>163934.43</v>
      </c>
      <c r="P15" s="128">
        <v>0</v>
      </c>
      <c r="Q15" s="33">
        <f>R15/2</f>
        <v>44275</v>
      </c>
      <c r="R15" s="128">
        <f>-(R166*1.1)</f>
        <v>88550</v>
      </c>
      <c r="S15" s="269"/>
      <c r="Z15" s="34">
        <v>30683.48</v>
      </c>
      <c r="AA15" s="34">
        <f>Z15/1.22</f>
        <v>25150.39344262295</v>
      </c>
      <c r="AB15" s="35" t="s">
        <v>38</v>
      </c>
      <c r="AC15" s="35" t="s">
        <v>31</v>
      </c>
      <c r="AD15" s="124"/>
      <c r="AE15" s="36">
        <f>AA15*0.6</f>
        <v>15090.236065573768</v>
      </c>
      <c r="AF15" s="34">
        <f>AA15*0.4</f>
        <v>10060.157377049181</v>
      </c>
    </row>
    <row r="16" spans="1:33" x14ac:dyDescent="0.25">
      <c r="A16" s="32"/>
      <c r="B16" s="42" t="s">
        <v>48</v>
      </c>
      <c r="C16" s="6" t="s">
        <v>49</v>
      </c>
      <c r="D16" s="32" t="s">
        <v>50</v>
      </c>
      <c r="E16" s="33">
        <v>110034.43</v>
      </c>
      <c r="F16" s="33">
        <v>30165.67</v>
      </c>
      <c r="G16" s="33">
        <v>0</v>
      </c>
      <c r="H16" s="33">
        <v>0</v>
      </c>
      <c r="I16" s="33"/>
      <c r="J16" s="33">
        <f>L16*0.5</f>
        <v>39332.826500000003</v>
      </c>
      <c r="K16" s="33">
        <v>0</v>
      </c>
      <c r="L16" s="127">
        <f t="shared" ref="L16:O17" si="16">-(L167*1.1)</f>
        <v>78665.653000000006</v>
      </c>
      <c r="M16" s="128">
        <f t="shared" si="16"/>
        <v>29155.532999999999</v>
      </c>
      <c r="N16" s="128">
        <f t="shared" si="16"/>
        <v>29155.532999999999</v>
      </c>
      <c r="O16" s="128">
        <f t="shared" si="16"/>
        <v>65972.819000000003</v>
      </c>
      <c r="P16" s="128">
        <v>0</v>
      </c>
      <c r="Q16" s="33">
        <f>R16/2</f>
        <v>34131.08600000001</v>
      </c>
      <c r="R16" s="128">
        <f>(47861*1.1)+(1198*1.1)+(4504.35*1.1)+(8493.17*1.1)</f>
        <v>68262.17200000002</v>
      </c>
      <c r="S16" s="308" t="s">
        <v>928</v>
      </c>
      <c r="Z16" s="34">
        <v>5829.6</v>
      </c>
      <c r="AA16" s="34">
        <f t="shared" si="10"/>
        <v>4778.3606557377052</v>
      </c>
      <c r="AB16" s="35" t="s">
        <v>51</v>
      </c>
      <c r="AC16" s="35" t="s">
        <v>31</v>
      </c>
      <c r="AD16" s="124"/>
      <c r="AE16" s="36">
        <f>AA16*0.5</f>
        <v>2389.1803278688526</v>
      </c>
      <c r="AF16" s="34">
        <f>AA16*0.5</f>
        <v>2389.1803278688526</v>
      </c>
    </row>
    <row r="17" spans="1:37" x14ac:dyDescent="0.25">
      <c r="A17" s="37"/>
      <c r="B17" s="6" t="s">
        <v>48</v>
      </c>
      <c r="C17" s="6" t="s">
        <v>52</v>
      </c>
      <c r="D17" s="37" t="s">
        <v>53</v>
      </c>
      <c r="E17" s="33">
        <v>47025.33</v>
      </c>
      <c r="F17" s="33">
        <v>31278.98</v>
      </c>
      <c r="G17" s="33">
        <v>0</v>
      </c>
      <c r="H17" s="33">
        <v>0</v>
      </c>
      <c r="I17" s="33"/>
      <c r="J17" s="33">
        <f>L17*0.5</f>
        <v>21241.445500000002</v>
      </c>
      <c r="K17" s="33">
        <v>0</v>
      </c>
      <c r="L17" s="127">
        <f t="shared" si="16"/>
        <v>42482.891000000003</v>
      </c>
      <c r="M17" s="128">
        <f t="shared" si="16"/>
        <v>4513.2120000000004</v>
      </c>
      <c r="N17" s="128">
        <f t="shared" si="16"/>
        <v>4513.2120000000004</v>
      </c>
      <c r="O17" s="128">
        <f t="shared" si="16"/>
        <v>4603.5</v>
      </c>
      <c r="P17" s="128">
        <v>0</v>
      </c>
      <c r="Q17" s="33">
        <f>R17/2</f>
        <v>2317.3040000000005</v>
      </c>
      <c r="R17" s="128">
        <f>-R168*1.1</f>
        <v>4634.6080000000011</v>
      </c>
      <c r="S17" s="269"/>
      <c r="Z17" s="34">
        <v>74500</v>
      </c>
      <c r="AA17" s="34">
        <f t="shared" si="10"/>
        <v>61065.573770491806</v>
      </c>
      <c r="AB17" s="35" t="s">
        <v>51</v>
      </c>
      <c r="AC17" s="35" t="s">
        <v>54</v>
      </c>
      <c r="AD17" s="757">
        <f>SUM(Z17:Z19)</f>
        <v>204905</v>
      </c>
      <c r="AE17" s="36">
        <f>AA17*0.5</f>
        <v>30532.786885245903</v>
      </c>
      <c r="AF17" s="34">
        <f>AA17*0.5</f>
        <v>30532.786885245903</v>
      </c>
    </row>
    <row r="18" spans="1:37" hidden="1" x14ac:dyDescent="0.25">
      <c r="A18" s="32"/>
      <c r="B18" s="310" t="s">
        <v>48</v>
      </c>
      <c r="C18" s="310" t="s">
        <v>55</v>
      </c>
      <c r="D18" s="311" t="s">
        <v>56</v>
      </c>
      <c r="E18" s="33">
        <v>4444.6379999999999</v>
      </c>
      <c r="F18" s="33">
        <v>0</v>
      </c>
      <c r="G18" s="33">
        <v>0</v>
      </c>
      <c r="H18" s="33">
        <v>0</v>
      </c>
      <c r="I18" s="33"/>
      <c r="J18" s="33">
        <f>L18*0.5</f>
        <v>1311.75</v>
      </c>
      <c r="K18" s="33">
        <v>0</v>
      </c>
      <c r="L18" s="127">
        <f>-(L169*1.1)</f>
        <v>2623.5</v>
      </c>
      <c r="M18" s="128">
        <v>0</v>
      </c>
      <c r="N18" s="128">
        <v>0</v>
      </c>
      <c r="O18" s="128">
        <v>0</v>
      </c>
      <c r="P18" s="128"/>
      <c r="Q18" s="128"/>
      <c r="R18" s="128"/>
      <c r="S18" s="269"/>
      <c r="Z18" s="34">
        <v>31636</v>
      </c>
      <c r="AA18" s="34">
        <f t="shared" si="10"/>
        <v>25931.147540983606</v>
      </c>
      <c r="AB18" s="35" t="s">
        <v>51</v>
      </c>
      <c r="AC18" s="35" t="s">
        <v>54</v>
      </c>
      <c r="AD18" s="757"/>
      <c r="AE18" s="36">
        <f>AA18*0.5</f>
        <v>12965.573770491803</v>
      </c>
      <c r="AF18" s="34">
        <f>AA18*0.5</f>
        <v>12965.573770491803</v>
      </c>
    </row>
    <row r="19" spans="1:37" x14ac:dyDescent="0.25">
      <c r="A19" s="39" t="s">
        <v>57</v>
      </c>
      <c r="B19" s="40"/>
      <c r="C19" s="40"/>
      <c r="D19" s="39" t="s">
        <v>58</v>
      </c>
      <c r="E19" s="41">
        <f t="shared" ref="E19:M19" si="17">E20</f>
        <v>0</v>
      </c>
      <c r="F19" s="41">
        <f t="shared" si="17"/>
        <v>599104.86</v>
      </c>
      <c r="G19" s="41">
        <f t="shared" si="17"/>
        <v>0</v>
      </c>
      <c r="H19" s="41">
        <f t="shared" si="17"/>
        <v>0</v>
      </c>
      <c r="I19" s="238">
        <f t="shared" ref="I19" si="18">I20</f>
        <v>0</v>
      </c>
      <c r="J19" s="41">
        <f t="shared" si="17"/>
        <v>162287.88</v>
      </c>
      <c r="K19" s="41">
        <f t="shared" si="17"/>
        <v>0</v>
      </c>
      <c r="L19" s="130">
        <f>L20</f>
        <v>324575.76</v>
      </c>
      <c r="M19" s="77">
        <f t="shared" si="17"/>
        <v>256620</v>
      </c>
      <c r="N19" s="77">
        <f>N20</f>
        <v>256620</v>
      </c>
      <c r="O19" s="77">
        <f t="shared" ref="O19:R19" si="19">O20</f>
        <v>245900</v>
      </c>
      <c r="P19" s="77">
        <f t="shared" si="19"/>
        <v>0</v>
      </c>
      <c r="Q19" s="77">
        <f t="shared" si="19"/>
        <v>121812.12300000002</v>
      </c>
      <c r="R19" s="77">
        <f t="shared" si="19"/>
        <v>243624.24600000004</v>
      </c>
      <c r="S19" s="271"/>
      <c r="Z19" s="34">
        <v>98769</v>
      </c>
      <c r="AA19" s="34">
        <f t="shared" si="10"/>
        <v>80958.196721311484</v>
      </c>
      <c r="AB19" s="35" t="s">
        <v>59</v>
      </c>
      <c r="AC19" s="35" t="s">
        <v>54</v>
      </c>
      <c r="AD19" s="757"/>
      <c r="AE19" s="36">
        <f>AA19*0.5</f>
        <v>40479.098360655742</v>
      </c>
      <c r="AF19" s="34">
        <f>AA19*0.5</f>
        <v>40479.098360655742</v>
      </c>
      <c r="AG19" t="s">
        <v>60</v>
      </c>
    </row>
    <row r="20" spans="1:37" x14ac:dyDescent="0.25">
      <c r="A20" s="32"/>
      <c r="B20" s="6" t="s">
        <v>61</v>
      </c>
      <c r="C20" s="6" t="s">
        <v>62</v>
      </c>
      <c r="D20" s="32" t="s">
        <v>63</v>
      </c>
      <c r="E20" s="33">
        <v>0</v>
      </c>
      <c r="F20" s="33">
        <v>599104.86</v>
      </c>
      <c r="G20" s="33">
        <v>0</v>
      </c>
      <c r="H20" s="33">
        <v>0</v>
      </c>
      <c r="I20" s="33"/>
      <c r="J20" s="33">
        <f>L20*0.5</f>
        <v>162287.88</v>
      </c>
      <c r="K20" s="33">
        <v>0</v>
      </c>
      <c r="L20" s="127">
        <f>((92600)*0)+(144040*0)+(145301.6*1.1)+164744</f>
        <v>324575.76</v>
      </c>
      <c r="M20" s="128">
        <f>(144040)+(92600*0.8)+38500</f>
        <v>256620</v>
      </c>
      <c r="N20" s="128">
        <f>(144040)+(92600*0.8)+38500</f>
        <v>256620</v>
      </c>
      <c r="O20" s="128">
        <v>245900</v>
      </c>
      <c r="P20" s="128">
        <v>0</v>
      </c>
      <c r="Q20" s="33">
        <f>R20/2</f>
        <v>121812.12300000002</v>
      </c>
      <c r="R20" s="128">
        <f>(90772.46*1.1)+(143774.54)</f>
        <v>243624.24600000004</v>
      </c>
      <c r="S20" s="308" t="s">
        <v>946</v>
      </c>
      <c r="T20" s="125" t="s">
        <v>729</v>
      </c>
      <c r="U20" s="125"/>
      <c r="V20" s="125"/>
      <c r="W20" s="125"/>
      <c r="X20" s="125"/>
      <c r="Z20" s="43">
        <f>SUM(Z10:Z19)</f>
        <v>1123198.76</v>
      </c>
      <c r="AA20" s="43">
        <f>SUM(AA10:AA19)</f>
        <v>920654.72131147562</v>
      </c>
    </row>
    <row r="21" spans="1:37" x14ac:dyDescent="0.25">
      <c r="A21" s="26" t="s">
        <v>64</v>
      </c>
      <c r="B21" s="27"/>
      <c r="C21" s="27"/>
      <c r="D21" s="26" t="s">
        <v>65</v>
      </c>
      <c r="E21" s="38">
        <f>SUM(E22:E34)</f>
        <v>159436.39000000001</v>
      </c>
      <c r="F21" s="38">
        <f>SUM(F22:F33)</f>
        <v>122223.81</v>
      </c>
      <c r="G21" s="38">
        <f>SUM(G22:G33)</f>
        <v>1800</v>
      </c>
      <c r="H21" s="38">
        <f>SUM(H22:H33)</f>
        <v>1800</v>
      </c>
      <c r="I21" s="237">
        <f>SUM(I22:I37)</f>
        <v>1800</v>
      </c>
      <c r="J21" s="38">
        <f>SUM(J22:J33)</f>
        <v>50533.25</v>
      </c>
      <c r="K21" s="38">
        <f>SUM(K22:K33)</f>
        <v>26942</v>
      </c>
      <c r="L21" s="38">
        <f>SUM(L22:L34)</f>
        <v>101066.5</v>
      </c>
      <c r="M21" s="38">
        <f t="shared" ref="M21:R21" si="20">SUM(M22:M37)</f>
        <v>171678.48360655736</v>
      </c>
      <c r="N21" s="38">
        <f t="shared" si="20"/>
        <v>191168.48360655736</v>
      </c>
      <c r="O21" s="38">
        <f t="shared" si="20"/>
        <v>204496.647</v>
      </c>
      <c r="P21" s="38">
        <f t="shared" si="20"/>
        <v>0</v>
      </c>
      <c r="Q21" s="38">
        <f t="shared" si="20"/>
        <v>94750.003500000006</v>
      </c>
      <c r="R21" s="38">
        <f t="shared" si="20"/>
        <v>147651.647</v>
      </c>
      <c r="S21" s="270">
        <f>O21-R21</f>
        <v>56845</v>
      </c>
    </row>
    <row r="22" spans="1:37" x14ac:dyDescent="0.25">
      <c r="A22" s="44" t="s">
        <v>66</v>
      </c>
      <c r="B22" s="45" t="s">
        <v>67</v>
      </c>
      <c r="C22" s="6" t="s">
        <v>68</v>
      </c>
      <c r="D22" s="32" t="s">
        <v>69</v>
      </c>
      <c r="E22" s="33">
        <v>20250</v>
      </c>
      <c r="F22" s="33">
        <v>0</v>
      </c>
      <c r="G22" s="33">
        <v>0</v>
      </c>
      <c r="H22" s="33">
        <v>0</v>
      </c>
      <c r="I22" s="33"/>
      <c r="J22" s="33">
        <v>0</v>
      </c>
      <c r="K22" s="33">
        <v>0</v>
      </c>
      <c r="L22" s="127">
        <v>0</v>
      </c>
      <c r="M22" s="128">
        <v>20250</v>
      </c>
      <c r="N22" s="128">
        <v>20250</v>
      </c>
      <c r="O22" s="128">
        <f>30000-9750</f>
        <v>20250</v>
      </c>
      <c r="P22" s="354">
        <v>0</v>
      </c>
      <c r="Q22" s="33">
        <f>R22</f>
        <v>20250</v>
      </c>
      <c r="R22" s="128">
        <f>O22</f>
        <v>20250</v>
      </c>
      <c r="S22" s="269"/>
      <c r="Z22" s="756" t="s">
        <v>70</v>
      </c>
      <c r="AA22" s="756"/>
      <c r="AB22" s="756"/>
      <c r="AC22" s="756"/>
      <c r="AD22" s="756"/>
    </row>
    <row r="23" spans="1:37" x14ac:dyDescent="0.25">
      <c r="A23" s="47" t="s">
        <v>71</v>
      </c>
      <c r="B23" s="45" t="s">
        <v>67</v>
      </c>
      <c r="C23" s="6" t="s">
        <v>72</v>
      </c>
      <c r="D23" s="37" t="s">
        <v>73</v>
      </c>
      <c r="E23" s="33">
        <v>14344.5</v>
      </c>
      <c r="F23" s="33">
        <v>0</v>
      </c>
      <c r="G23" s="33">
        <v>0</v>
      </c>
      <c r="H23" s="33">
        <v>0</v>
      </c>
      <c r="I23" s="33"/>
      <c r="J23" s="33">
        <f>L23*0.5</f>
        <v>7172.25</v>
      </c>
      <c r="K23" s="59">
        <v>0</v>
      </c>
      <c r="L23" s="127">
        <f>8196.5+6148</f>
        <v>14344.5</v>
      </c>
      <c r="M23" s="128">
        <v>0</v>
      </c>
      <c r="N23" s="128">
        <v>0</v>
      </c>
      <c r="O23" s="128">
        <v>0</v>
      </c>
      <c r="P23" s="352">
        <v>0</v>
      </c>
      <c r="Q23" s="33">
        <f t="shared" ref="Q23:Q30" si="21">R23/2</f>
        <v>0</v>
      </c>
      <c r="R23" s="128">
        <v>0</v>
      </c>
      <c r="S23" s="269"/>
      <c r="Z23" s="3" t="s">
        <v>23</v>
      </c>
      <c r="AA23" s="3" t="s">
        <v>24</v>
      </c>
      <c r="AB23" s="3"/>
      <c r="AC23" s="3"/>
      <c r="AD23" s="3"/>
      <c r="AE23" s="30" t="s">
        <v>25</v>
      </c>
      <c r="AF23" s="30" t="s">
        <v>26</v>
      </c>
    </row>
    <row r="24" spans="1:37" x14ac:dyDescent="0.25">
      <c r="A24" s="44" t="s">
        <v>74</v>
      </c>
      <c r="B24" s="45" t="s">
        <v>67</v>
      </c>
      <c r="C24" s="6" t="s">
        <v>75</v>
      </c>
      <c r="D24" s="32" t="s">
        <v>76</v>
      </c>
      <c r="E24" s="33">
        <v>35000</v>
      </c>
      <c r="F24" s="33">
        <v>34976.04</v>
      </c>
      <c r="G24" s="33">
        <v>0</v>
      </c>
      <c r="H24" s="33">
        <v>0</v>
      </c>
      <c r="I24" s="33"/>
      <c r="J24" s="48">
        <f>L24*0.5</f>
        <v>17500</v>
      </c>
      <c r="K24" s="33">
        <v>0</v>
      </c>
      <c r="L24" s="127">
        <f>E24</f>
        <v>35000</v>
      </c>
      <c r="M24" s="128">
        <v>35000</v>
      </c>
      <c r="N24" s="128">
        <v>35000</v>
      </c>
      <c r="O24" s="128">
        <v>35000</v>
      </c>
      <c r="P24" s="354">
        <v>0</v>
      </c>
      <c r="Q24" s="33">
        <f t="shared" si="21"/>
        <v>17500</v>
      </c>
      <c r="R24" s="128">
        <v>35000</v>
      </c>
      <c r="S24" s="269"/>
      <c r="T24" s="302" t="s">
        <v>77</v>
      </c>
      <c r="U24" s="302"/>
      <c r="V24" s="302"/>
      <c r="W24" s="302"/>
      <c r="X24" s="302"/>
      <c r="Z24" s="34">
        <v>3775.64</v>
      </c>
      <c r="AA24" s="34">
        <f>Z24/1.22</f>
        <v>3094.7868852459014</v>
      </c>
      <c r="AB24" s="35" t="s">
        <v>78</v>
      </c>
      <c r="AC24" s="35" t="s">
        <v>31</v>
      </c>
      <c r="AD24" s="34"/>
      <c r="AE24" s="34"/>
      <c r="AF24" s="34">
        <f>AA24</f>
        <v>3094.7868852459014</v>
      </c>
      <c r="AG24" t="s">
        <v>79</v>
      </c>
    </row>
    <row r="25" spans="1:37" x14ac:dyDescent="0.25">
      <c r="A25" s="47" t="s">
        <v>80</v>
      </c>
      <c r="B25" s="45" t="s">
        <v>67</v>
      </c>
      <c r="C25" s="6" t="s">
        <v>81</v>
      </c>
      <c r="D25" s="32" t="s">
        <v>82</v>
      </c>
      <c r="E25" s="33">
        <v>6000</v>
      </c>
      <c r="F25" s="33">
        <v>3996.35</v>
      </c>
      <c r="G25" s="33">
        <v>0</v>
      </c>
      <c r="H25" s="33">
        <v>0</v>
      </c>
      <c r="I25" s="33"/>
      <c r="J25" s="33">
        <v>0</v>
      </c>
      <c r="K25" s="59">
        <v>0</v>
      </c>
      <c r="L25" s="127">
        <v>0</v>
      </c>
      <c r="M25" s="128">
        <v>0</v>
      </c>
      <c r="N25" s="128">
        <v>0</v>
      </c>
      <c r="O25" s="128">
        <v>0</v>
      </c>
      <c r="P25" s="352">
        <v>0</v>
      </c>
      <c r="Q25" s="33">
        <f t="shared" si="21"/>
        <v>0</v>
      </c>
      <c r="R25" s="132">
        <v>0</v>
      </c>
      <c r="S25" s="357" t="s">
        <v>730</v>
      </c>
    </row>
    <row r="26" spans="1:37" hidden="1" x14ac:dyDescent="0.25">
      <c r="A26" s="47"/>
      <c r="B26" s="50" t="s">
        <v>83</v>
      </c>
      <c r="C26" s="353" t="s">
        <v>84</v>
      </c>
      <c r="D26" s="355" t="s">
        <v>85</v>
      </c>
      <c r="E26" s="52">
        <v>25142</v>
      </c>
      <c r="F26" s="52">
        <v>25142</v>
      </c>
      <c r="G26" s="52">
        <v>0</v>
      </c>
      <c r="H26" s="52">
        <v>0</v>
      </c>
      <c r="I26" s="239"/>
      <c r="J26" s="52">
        <f>L26*0.5</f>
        <v>12571</v>
      </c>
      <c r="K26" s="33">
        <v>25142</v>
      </c>
      <c r="L26" s="131">
        <f>25142</f>
        <v>25142</v>
      </c>
      <c r="M26" s="132">
        <v>0</v>
      </c>
      <c r="N26" s="132">
        <v>0</v>
      </c>
      <c r="O26" s="132">
        <v>0</v>
      </c>
      <c r="P26" s="354"/>
      <c r="Q26" s="33">
        <f t="shared" si="21"/>
        <v>0</v>
      </c>
      <c r="R26" s="132">
        <v>0</v>
      </c>
      <c r="S26" s="272"/>
      <c r="Z26" s="756" t="s">
        <v>86</v>
      </c>
      <c r="AA26" s="756"/>
      <c r="AB26" s="756"/>
      <c r="AC26" s="756"/>
      <c r="AD26" s="756"/>
    </row>
    <row r="27" spans="1:37" hidden="1" x14ac:dyDescent="0.25">
      <c r="A27" s="47"/>
      <c r="B27" s="45" t="s">
        <v>67</v>
      </c>
      <c r="C27" s="310" t="s">
        <v>87</v>
      </c>
      <c r="D27" s="311" t="s">
        <v>88</v>
      </c>
      <c r="E27" s="33">
        <v>4918.03</v>
      </c>
      <c r="F27" s="33">
        <v>0</v>
      </c>
      <c r="G27" s="33">
        <v>0</v>
      </c>
      <c r="H27" s="33">
        <v>0</v>
      </c>
      <c r="I27" s="33"/>
      <c r="J27" s="33">
        <f>L27*0.5</f>
        <v>0</v>
      </c>
      <c r="K27" s="59">
        <v>0</v>
      </c>
      <c r="L27" s="127">
        <v>0</v>
      </c>
      <c r="M27" s="128">
        <v>0</v>
      </c>
      <c r="N27" s="128">
        <v>0</v>
      </c>
      <c r="O27" s="128">
        <v>0</v>
      </c>
      <c r="P27" s="354"/>
      <c r="Q27" s="33">
        <f t="shared" si="21"/>
        <v>0</v>
      </c>
      <c r="R27" s="128">
        <v>0</v>
      </c>
      <c r="S27" s="269"/>
      <c r="T27" s="53"/>
      <c r="U27" s="53"/>
      <c r="V27" s="53"/>
      <c r="W27" s="53"/>
      <c r="X27" s="53"/>
      <c r="Z27" s="3" t="s">
        <v>23</v>
      </c>
      <c r="AA27" s="3" t="s">
        <v>24</v>
      </c>
      <c r="AB27" s="3"/>
      <c r="AC27" s="3"/>
      <c r="AD27" s="3"/>
      <c r="AE27" s="30" t="s">
        <v>25</v>
      </c>
      <c r="AF27" s="30" t="s">
        <v>26</v>
      </c>
      <c r="AG27" s="30" t="s">
        <v>89</v>
      </c>
    </row>
    <row r="28" spans="1:37" ht="15" hidden="1" customHeight="1" x14ac:dyDescent="0.25">
      <c r="A28" s="47"/>
      <c r="B28" s="45" t="s">
        <v>67</v>
      </c>
      <c r="C28" s="310" t="s">
        <v>90</v>
      </c>
      <c r="D28" s="311" t="s">
        <v>91</v>
      </c>
      <c r="E28" s="33">
        <v>7452.47</v>
      </c>
      <c r="F28" s="33">
        <v>8852.4599999999991</v>
      </c>
      <c r="G28" s="33">
        <v>1800</v>
      </c>
      <c r="H28" s="33">
        <v>1800</v>
      </c>
      <c r="I28" s="33">
        <v>1800</v>
      </c>
      <c r="J28" s="33">
        <f>L28*0.5</f>
        <v>900</v>
      </c>
      <c r="K28" s="33">
        <v>1800</v>
      </c>
      <c r="L28" s="127">
        <f>1800</f>
        <v>1800</v>
      </c>
      <c r="M28" s="128">
        <v>0</v>
      </c>
      <c r="N28" s="128">
        <v>0</v>
      </c>
      <c r="O28" s="128">
        <v>0</v>
      </c>
      <c r="P28" s="352"/>
      <c r="Q28" s="33">
        <f t="shared" si="21"/>
        <v>0</v>
      </c>
      <c r="R28" s="128">
        <v>0</v>
      </c>
      <c r="S28" s="269"/>
      <c r="T28" s="54"/>
      <c r="U28" s="54"/>
      <c r="V28" s="54"/>
      <c r="W28" s="54"/>
      <c r="X28" s="54"/>
      <c r="Z28" s="34">
        <v>16684.27</v>
      </c>
      <c r="AA28" s="34">
        <f t="shared" ref="AA28:AA33" si="22">Z28/1.22</f>
        <v>13675.631147540984</v>
      </c>
      <c r="AB28" s="35" t="s">
        <v>92</v>
      </c>
      <c r="AC28" s="35" t="s">
        <v>93</v>
      </c>
      <c r="AD28" s="757">
        <f>SUM(Z28:Z43)</f>
        <v>278285.76</v>
      </c>
      <c r="AE28" s="36">
        <v>7193.12</v>
      </c>
      <c r="AF28" s="34">
        <f t="shared" ref="AF28:AF33" si="23">AE28</f>
        <v>7193.12</v>
      </c>
      <c r="AG28" s="34"/>
      <c r="AH28" t="s">
        <v>94</v>
      </c>
      <c r="AI28" s="751" t="s">
        <v>95</v>
      </c>
      <c r="AJ28" s="55">
        <f>95239.35-10616.99+7025.37+5375.74+4133.41</f>
        <v>101156.88</v>
      </c>
      <c r="AK28" t="s">
        <v>96</v>
      </c>
    </row>
    <row r="29" spans="1:37" x14ac:dyDescent="0.25">
      <c r="A29" s="47"/>
      <c r="B29" s="45" t="s">
        <v>67</v>
      </c>
      <c r="C29" s="6" t="s">
        <v>97</v>
      </c>
      <c r="D29" s="37" t="s">
        <v>98</v>
      </c>
      <c r="E29" s="33">
        <v>16549.39</v>
      </c>
      <c r="F29" s="33">
        <v>0</v>
      </c>
      <c r="G29" s="33">
        <v>0</v>
      </c>
      <c r="H29" s="33">
        <v>0</v>
      </c>
      <c r="I29" s="33"/>
      <c r="J29" s="33">
        <v>0</v>
      </c>
      <c r="K29" s="59">
        <v>0</v>
      </c>
      <c r="L29" s="127">
        <v>0</v>
      </c>
      <c r="M29" s="128">
        <f>(17000+15870/2)*0.5</f>
        <v>12467.5</v>
      </c>
      <c r="N29" s="128">
        <f>(17000+15870/2)*0.5</f>
        <v>12467.5</v>
      </c>
      <c r="O29" s="128">
        <f>35000-16435</f>
        <v>18565</v>
      </c>
      <c r="P29" s="354">
        <v>0</v>
      </c>
      <c r="Q29" s="33">
        <f t="shared" si="21"/>
        <v>0</v>
      </c>
      <c r="R29" s="128">
        <v>0</v>
      </c>
      <c r="S29" s="308" t="s">
        <v>996</v>
      </c>
      <c r="Z29" s="34">
        <v>5940</v>
      </c>
      <c r="AA29" s="34">
        <f t="shared" si="22"/>
        <v>4868.8524590163934</v>
      </c>
      <c r="AB29" s="35" t="s">
        <v>92</v>
      </c>
      <c r="AC29" s="35" t="s">
        <v>99</v>
      </c>
      <c r="AD29" s="757"/>
      <c r="AE29" s="36">
        <v>2808.32</v>
      </c>
      <c r="AF29" s="34">
        <f t="shared" si="23"/>
        <v>2808.32</v>
      </c>
      <c r="AG29" s="34"/>
      <c r="AH29" t="s">
        <v>100</v>
      </c>
      <c r="AI29" s="751"/>
      <c r="AJ29" s="56">
        <f>-(AJ28-SUM(AE28:AE43))</f>
        <v>-1685.9300000000076</v>
      </c>
      <c r="AK29" t="s">
        <v>101</v>
      </c>
    </row>
    <row r="30" spans="1:37" x14ac:dyDescent="0.25">
      <c r="A30" s="47"/>
      <c r="B30" s="45" t="s">
        <v>67</v>
      </c>
      <c r="C30" s="6" t="s">
        <v>102</v>
      </c>
      <c r="D30" s="37" t="s">
        <v>103</v>
      </c>
      <c r="E30" s="33">
        <v>14000</v>
      </c>
      <c r="F30" s="33">
        <v>17696.96</v>
      </c>
      <c r="G30" s="33">
        <v>0</v>
      </c>
      <c r="H30" s="33">
        <v>0</v>
      </c>
      <c r="I30" s="33"/>
      <c r="J30" s="33">
        <f>L30*0.5</f>
        <v>7000</v>
      </c>
      <c r="K30" s="33">
        <v>0</v>
      </c>
      <c r="L30" s="127">
        <f>E30</f>
        <v>14000</v>
      </c>
      <c r="M30" s="128">
        <v>14000</v>
      </c>
      <c r="N30" s="128">
        <v>14000</v>
      </c>
      <c r="O30" s="128">
        <v>14000</v>
      </c>
      <c r="P30" s="352">
        <v>0</v>
      </c>
      <c r="Q30" s="33">
        <f t="shared" si="21"/>
        <v>7000</v>
      </c>
      <c r="R30" s="128">
        <v>14000</v>
      </c>
      <c r="S30" s="269"/>
      <c r="Z30" s="34">
        <v>21888.14</v>
      </c>
      <c r="AA30" s="34">
        <f t="shared" si="22"/>
        <v>17941.098360655738</v>
      </c>
      <c r="AB30" s="35" t="s">
        <v>92</v>
      </c>
      <c r="AC30" s="35" t="s">
        <v>104</v>
      </c>
      <c r="AD30" s="757"/>
      <c r="AE30" s="36">
        <v>7025.37</v>
      </c>
      <c r="AF30" s="34">
        <f t="shared" si="23"/>
        <v>7025.37</v>
      </c>
      <c r="AG30" s="34"/>
      <c r="AH30" t="s">
        <v>105</v>
      </c>
      <c r="AI30" s="751"/>
    </row>
    <row r="31" spans="1:37" x14ac:dyDescent="0.25">
      <c r="A31" s="47"/>
      <c r="B31" s="45" t="s">
        <v>67</v>
      </c>
      <c r="C31" s="6" t="s">
        <v>106</v>
      </c>
      <c r="D31" s="32" t="s">
        <v>107</v>
      </c>
      <c r="E31" s="33">
        <v>12500</v>
      </c>
      <c r="F31" s="33">
        <v>25000</v>
      </c>
      <c r="G31" s="33">
        <v>0</v>
      </c>
      <c r="H31" s="33">
        <v>0</v>
      </c>
      <c r="I31" s="33"/>
      <c r="J31" s="57">
        <f>L31*0.5</f>
        <v>3750</v>
      </c>
      <c r="K31" s="59">
        <v>0</v>
      </c>
      <c r="L31" s="127">
        <f>F31*0.3</f>
        <v>7500</v>
      </c>
      <c r="M31" s="128">
        <f>F31*0.7</f>
        <v>17500</v>
      </c>
      <c r="N31" s="128">
        <f>F31*0.7</f>
        <v>17500</v>
      </c>
      <c r="O31" s="128">
        <f>25000-7500</f>
        <v>17500</v>
      </c>
      <c r="P31" s="354">
        <v>0</v>
      </c>
      <c r="Q31" s="33">
        <f>R31</f>
        <v>17500</v>
      </c>
      <c r="R31" s="128">
        <f>25000-7500</f>
        <v>17500</v>
      </c>
      <c r="S31" s="269"/>
      <c r="T31" s="53"/>
      <c r="U31" s="53"/>
      <c r="V31" s="53"/>
      <c r="W31" s="53"/>
      <c r="X31" s="53"/>
      <c r="Z31" s="34">
        <v>23608</v>
      </c>
      <c r="AA31" s="34">
        <f t="shared" si="22"/>
        <v>19350.819672131147</v>
      </c>
      <c r="AB31" s="35" t="s">
        <v>92</v>
      </c>
      <c r="AC31" s="35" t="s">
        <v>108</v>
      </c>
      <c r="AD31" s="757"/>
      <c r="AE31" s="36">
        <v>10743.4</v>
      </c>
      <c r="AF31" s="34">
        <f t="shared" si="23"/>
        <v>10743.4</v>
      </c>
      <c r="AG31" s="34"/>
      <c r="AH31" t="s">
        <v>109</v>
      </c>
      <c r="AI31" s="751"/>
    </row>
    <row r="32" spans="1:37" x14ac:dyDescent="0.25">
      <c r="A32" s="47"/>
      <c r="B32" s="45" t="s">
        <v>67</v>
      </c>
      <c r="C32" s="6" t="s">
        <v>110</v>
      </c>
      <c r="D32" s="37" t="s">
        <v>111</v>
      </c>
      <c r="E32" s="33">
        <v>1640</v>
      </c>
      <c r="F32" s="33">
        <v>3280</v>
      </c>
      <c r="G32" s="33">
        <v>0</v>
      </c>
      <c r="H32" s="33">
        <v>0</v>
      </c>
      <c r="I32" s="33"/>
      <c r="J32" s="33">
        <f>L32*0.5</f>
        <v>0</v>
      </c>
      <c r="K32" s="33">
        <v>0</v>
      </c>
      <c r="L32" s="127">
        <v>0</v>
      </c>
      <c r="M32" s="128">
        <f>3280</f>
        <v>3280</v>
      </c>
      <c r="N32" s="128">
        <v>3280</v>
      </c>
      <c r="O32" s="128">
        <v>3280</v>
      </c>
      <c r="P32" s="352">
        <v>0</v>
      </c>
      <c r="Q32" s="33">
        <f>R32/2</f>
        <v>0</v>
      </c>
      <c r="R32" s="307">
        <v>0</v>
      </c>
      <c r="S32" s="308" t="s">
        <v>916</v>
      </c>
      <c r="Z32" s="34">
        <v>69632.789999999994</v>
      </c>
      <c r="AA32" s="34">
        <f t="shared" si="22"/>
        <v>57076.057377049176</v>
      </c>
      <c r="AB32" s="35" t="s">
        <v>92</v>
      </c>
      <c r="AC32" s="35" t="s">
        <v>112</v>
      </c>
      <c r="AD32" s="757"/>
      <c r="AE32" s="36">
        <v>26689.49</v>
      </c>
      <c r="AF32" s="34">
        <f t="shared" si="23"/>
        <v>26689.49</v>
      </c>
      <c r="AG32" s="34"/>
      <c r="AH32" t="s">
        <v>113</v>
      </c>
      <c r="AI32" s="751"/>
    </row>
    <row r="33" spans="1:37" x14ac:dyDescent="0.25">
      <c r="A33" s="47"/>
      <c r="B33" s="45" t="s">
        <v>67</v>
      </c>
      <c r="C33" s="6" t="s">
        <v>114</v>
      </c>
      <c r="D33" s="58" t="s">
        <v>115</v>
      </c>
      <c r="E33" s="33">
        <v>1640</v>
      </c>
      <c r="F33" s="33">
        <v>3280</v>
      </c>
      <c r="G33" s="33">
        <v>0</v>
      </c>
      <c r="H33" s="33">
        <v>0</v>
      </c>
      <c r="I33" s="33"/>
      <c r="J33" s="48">
        <f>L33*0.5</f>
        <v>1640</v>
      </c>
      <c r="K33" s="59">
        <v>0</v>
      </c>
      <c r="L33" s="127">
        <f>F33</f>
        <v>3280</v>
      </c>
      <c r="M33" s="128">
        <v>1640</v>
      </c>
      <c r="N33" s="128">
        <f>1640+19490</f>
        <v>21130</v>
      </c>
      <c r="O33" s="128">
        <f>29508.2+2459.02</f>
        <v>31967.22</v>
      </c>
      <c r="P33" s="354">
        <v>0</v>
      </c>
      <c r="Q33" s="33">
        <f>R33/2</f>
        <v>15983.61</v>
      </c>
      <c r="R33" s="128">
        <f>29508.2+2459.02</f>
        <v>31967.22</v>
      </c>
      <c r="T33" s="92"/>
      <c r="U33" s="92"/>
      <c r="V33" s="92"/>
      <c r="W33" s="92"/>
      <c r="X33" s="92"/>
      <c r="Z33" s="34">
        <v>39382.83</v>
      </c>
      <c r="AA33" s="34">
        <f t="shared" si="22"/>
        <v>32281.008196721312</v>
      </c>
      <c r="AB33" s="35" t="s">
        <v>92</v>
      </c>
      <c r="AC33" s="35" t="s">
        <v>116</v>
      </c>
      <c r="AD33" s="757"/>
      <c r="AE33" s="36">
        <v>14117.84</v>
      </c>
      <c r="AF33" s="34">
        <f t="shared" si="23"/>
        <v>14117.84</v>
      </c>
      <c r="AG33" s="34"/>
      <c r="AH33" t="s">
        <v>117</v>
      </c>
      <c r="AI33" s="751"/>
    </row>
    <row r="34" spans="1:37" x14ac:dyDescent="0.25">
      <c r="A34" s="133"/>
      <c r="B34" s="45" t="s">
        <v>67</v>
      </c>
      <c r="C34" s="6" t="s">
        <v>884</v>
      </c>
      <c r="D34" s="32" t="s">
        <v>731</v>
      </c>
      <c r="E34" s="33"/>
      <c r="F34" s="33"/>
      <c r="G34" s="33"/>
      <c r="H34" s="33"/>
      <c r="I34" s="33"/>
      <c r="J34" s="33"/>
      <c r="K34" s="33"/>
      <c r="L34" s="127"/>
      <c r="M34" s="132">
        <f>58000/1.22</f>
        <v>47540.983606557376</v>
      </c>
      <c r="N34" s="128">
        <f>58000/1.22</f>
        <v>47540.983606557376</v>
      </c>
      <c r="O34" s="128">
        <f>32786.89*0.3</f>
        <v>9836.0669999999991</v>
      </c>
      <c r="P34" s="352">
        <v>0</v>
      </c>
      <c r="Q34" s="33">
        <f>R34/2</f>
        <v>4918.0334999999995</v>
      </c>
      <c r="R34" s="128">
        <f>32786.89*0.3</f>
        <v>9836.0669999999991</v>
      </c>
      <c r="T34" s="272" t="s">
        <v>899</v>
      </c>
      <c r="U34" s="272"/>
      <c r="V34" s="272"/>
      <c r="W34" s="272"/>
      <c r="X34" s="272"/>
      <c r="Z34" s="34"/>
      <c r="AA34" s="34"/>
      <c r="AB34" s="35"/>
      <c r="AC34" s="35"/>
      <c r="AD34" s="757"/>
      <c r="AE34" s="36"/>
      <c r="AF34" s="34"/>
      <c r="AG34" s="34"/>
      <c r="AI34" s="751"/>
    </row>
    <row r="35" spans="1:37" x14ac:dyDescent="0.25">
      <c r="A35" s="133"/>
      <c r="B35" s="45" t="s">
        <v>67</v>
      </c>
      <c r="C35" s="6" t="s">
        <v>885</v>
      </c>
      <c r="D35" s="32" t="s">
        <v>732</v>
      </c>
      <c r="E35" s="33"/>
      <c r="F35" s="33"/>
      <c r="G35" s="33"/>
      <c r="H35" s="33"/>
      <c r="I35" s="33"/>
      <c r="J35" s="33"/>
      <c r="K35" s="33"/>
      <c r="L35" s="127"/>
      <c r="M35" s="215">
        <v>5000</v>
      </c>
      <c r="N35" s="128">
        <v>5000</v>
      </c>
      <c r="O35" s="128">
        <v>4098.3599999999997</v>
      </c>
      <c r="P35" s="354">
        <v>0</v>
      </c>
      <c r="Q35" s="33">
        <f>R35</f>
        <v>4098.3599999999997</v>
      </c>
      <c r="R35" s="128">
        <v>4098.3599999999997</v>
      </c>
      <c r="T35" s="269" t="s">
        <v>877</v>
      </c>
      <c r="U35" s="269"/>
      <c r="V35" s="269"/>
      <c r="W35" s="269"/>
      <c r="X35" s="269"/>
      <c r="Z35" s="34"/>
      <c r="AA35" s="34"/>
      <c r="AB35" s="35"/>
      <c r="AC35" s="35"/>
      <c r="AD35" s="757"/>
      <c r="AE35" s="36"/>
      <c r="AF35" s="34"/>
      <c r="AG35" s="34"/>
      <c r="AI35" s="751"/>
    </row>
    <row r="36" spans="1:37" x14ac:dyDescent="0.25">
      <c r="A36" s="133"/>
      <c r="B36" s="45" t="s">
        <v>67</v>
      </c>
      <c r="C36" s="6" t="s">
        <v>886</v>
      </c>
      <c r="D36" s="32" t="s">
        <v>733</v>
      </c>
      <c r="E36" s="33"/>
      <c r="F36" s="33"/>
      <c r="G36" s="33"/>
      <c r="H36" s="33"/>
      <c r="I36" s="33"/>
      <c r="J36" s="33"/>
      <c r="K36" s="33"/>
      <c r="L36" s="127"/>
      <c r="M36" s="215">
        <v>7000</v>
      </c>
      <c r="N36" s="128">
        <v>7000</v>
      </c>
      <c r="O36" s="128">
        <f>17500</f>
        <v>17500</v>
      </c>
      <c r="P36" s="352">
        <v>0</v>
      </c>
      <c r="Q36" s="33">
        <f>R36/2</f>
        <v>2625</v>
      </c>
      <c r="R36" s="307">
        <f>O36*0.3</f>
        <v>5250</v>
      </c>
      <c r="S36" s="308" t="s">
        <v>915</v>
      </c>
      <c r="T36" t="s">
        <v>917</v>
      </c>
      <c r="Z36" s="34"/>
      <c r="AA36" s="34"/>
      <c r="AB36" s="35"/>
      <c r="AC36" s="35"/>
      <c r="AD36" s="757"/>
      <c r="AE36" s="36"/>
      <c r="AF36" s="34"/>
      <c r="AG36" s="34"/>
      <c r="AI36" s="751"/>
    </row>
    <row r="37" spans="1:37" x14ac:dyDescent="0.25">
      <c r="A37" s="133"/>
      <c r="B37" s="45" t="s">
        <v>67</v>
      </c>
      <c r="C37" s="6" t="s">
        <v>887</v>
      </c>
      <c r="D37" s="356" t="s">
        <v>1036</v>
      </c>
      <c r="E37" s="33"/>
      <c r="F37" s="33"/>
      <c r="G37" s="33"/>
      <c r="H37" s="33"/>
      <c r="I37" s="33"/>
      <c r="J37" s="33"/>
      <c r="K37" s="33"/>
      <c r="L37" s="127"/>
      <c r="M37" s="215">
        <v>8000</v>
      </c>
      <c r="N37" s="128">
        <v>8000</v>
      </c>
      <c r="O37" s="128">
        <v>32500</v>
      </c>
      <c r="P37" s="354">
        <v>0</v>
      </c>
      <c r="Q37" s="33">
        <f>R37/2</f>
        <v>4875</v>
      </c>
      <c r="R37" s="128">
        <f>O37*0.3</f>
        <v>9750</v>
      </c>
      <c r="S37" s="269" t="s">
        <v>914</v>
      </c>
      <c r="T37" t="s">
        <v>917</v>
      </c>
      <c r="Z37" s="34"/>
      <c r="AA37" s="34"/>
      <c r="AB37" s="35"/>
      <c r="AC37" s="35"/>
      <c r="AD37" s="757"/>
      <c r="AE37" s="36"/>
      <c r="AF37" s="34"/>
      <c r="AG37" s="34"/>
      <c r="AI37" s="751"/>
    </row>
    <row r="38" spans="1:37" hidden="1" x14ac:dyDescent="0.25">
      <c r="A38" s="133"/>
      <c r="B38" s="45" t="s">
        <v>67</v>
      </c>
      <c r="C38" s="310" t="s">
        <v>912</v>
      </c>
      <c r="D38" s="311" t="s">
        <v>913</v>
      </c>
      <c r="E38" s="33"/>
      <c r="F38" s="33"/>
      <c r="G38" s="33"/>
      <c r="H38" s="33"/>
      <c r="I38" s="33"/>
      <c r="J38" s="33"/>
      <c r="K38" s="33"/>
      <c r="L38" s="127"/>
      <c r="M38" s="215"/>
      <c r="N38" s="128">
        <v>0</v>
      </c>
      <c r="O38" s="128">
        <v>0</v>
      </c>
      <c r="P38" s="128"/>
      <c r="Q38" s="33">
        <f>R38/2</f>
        <v>0</v>
      </c>
      <c r="R38" s="128">
        <v>0</v>
      </c>
      <c r="S38" s="269"/>
      <c r="Z38" s="34"/>
      <c r="AA38" s="34"/>
      <c r="AB38" s="35"/>
      <c r="AC38" s="35"/>
      <c r="AD38" s="757"/>
      <c r="AE38" s="36"/>
      <c r="AF38" s="34"/>
      <c r="AG38" s="34"/>
      <c r="AI38" s="751"/>
    </row>
    <row r="39" spans="1:37" hidden="1" x14ac:dyDescent="0.25">
      <c r="A39" s="133"/>
      <c r="B39" s="45"/>
      <c r="C39" s="310"/>
      <c r="D39" s="311" t="s">
        <v>1056</v>
      </c>
      <c r="E39" s="33"/>
      <c r="F39" s="33"/>
      <c r="G39" s="33"/>
      <c r="H39" s="33"/>
      <c r="I39" s="33"/>
      <c r="J39" s="33"/>
      <c r="K39" s="33"/>
      <c r="L39" s="127"/>
      <c r="M39" s="215"/>
      <c r="N39" s="128"/>
      <c r="O39" s="128"/>
      <c r="P39" s="128"/>
      <c r="Q39" s="146"/>
      <c r="R39" s="128"/>
      <c r="S39" s="269"/>
      <c r="Z39" s="34"/>
      <c r="AA39" s="34"/>
      <c r="AB39" s="35"/>
      <c r="AC39" s="35"/>
      <c r="AD39" s="757"/>
      <c r="AE39" s="36"/>
      <c r="AF39" s="34"/>
      <c r="AG39" s="34"/>
      <c r="AI39" s="751"/>
    </row>
    <row r="40" spans="1:37" x14ac:dyDescent="0.25">
      <c r="A40" s="26" t="s">
        <v>118</v>
      </c>
      <c r="B40" s="27"/>
      <c r="C40" s="27"/>
      <c r="D40" s="26" t="s">
        <v>119</v>
      </c>
      <c r="E40" s="38">
        <f t="shared" ref="E40:M40" si="24">E41+E42</f>
        <v>395114.16000000003</v>
      </c>
      <c r="F40" s="38">
        <f t="shared" si="24"/>
        <v>395114.16</v>
      </c>
      <c r="G40" s="38">
        <f t="shared" si="24"/>
        <v>258732.79999999999</v>
      </c>
      <c r="H40" s="38">
        <f t="shared" si="24"/>
        <v>258732.79999999999</v>
      </c>
      <c r="I40" s="237">
        <f>I41+I42</f>
        <v>261827.59</v>
      </c>
      <c r="J40" s="38">
        <f t="shared" si="24"/>
        <v>132126.46000000002</v>
      </c>
      <c r="K40" s="38">
        <f t="shared" si="24"/>
        <v>261827.59</v>
      </c>
      <c r="L40" s="134">
        <f>L41+L42</f>
        <v>264252.92000000004</v>
      </c>
      <c r="M40" s="135">
        <f t="shared" si="24"/>
        <v>326130.75</v>
      </c>
      <c r="N40" s="135">
        <f>N41+N42</f>
        <v>326130.75</v>
      </c>
      <c r="O40" s="135">
        <f t="shared" ref="O40:P40" si="25">O41+O42</f>
        <v>3094.7868852459014</v>
      </c>
      <c r="P40" s="135">
        <f t="shared" si="25"/>
        <v>226677.52</v>
      </c>
      <c r="Q40" s="135">
        <f>Q41+Q42</f>
        <v>114266.81344262295</v>
      </c>
      <c r="R40" s="135">
        <f>R41+R42</f>
        <v>311094.78688524588</v>
      </c>
      <c r="S40" s="270">
        <f>N40-R40</f>
        <v>15035.963114754122</v>
      </c>
      <c r="Z40" s="34">
        <v>13093.97</v>
      </c>
      <c r="AA40" s="34">
        <f t="shared" ref="AA40:AA45" si="26">Z40/1.22</f>
        <v>10732.762295081968</v>
      </c>
      <c r="AB40" s="35" t="s">
        <v>92</v>
      </c>
      <c r="AC40" s="35" t="s">
        <v>120</v>
      </c>
      <c r="AD40" s="757"/>
      <c r="AE40" s="36">
        <v>5375.74</v>
      </c>
      <c r="AF40" s="34">
        <f>AE40</f>
        <v>5375.74</v>
      </c>
      <c r="AG40" s="34"/>
      <c r="AH40" t="s">
        <v>121</v>
      </c>
      <c r="AI40" s="751"/>
    </row>
    <row r="41" spans="1:37" x14ac:dyDescent="0.25">
      <c r="A41" s="32" t="s">
        <v>122</v>
      </c>
      <c r="B41" s="6" t="s">
        <v>123</v>
      </c>
      <c r="C41" s="6" t="s">
        <v>124</v>
      </c>
      <c r="D41" s="32" t="s">
        <v>125</v>
      </c>
      <c r="E41" s="33">
        <v>392019.38</v>
      </c>
      <c r="F41" s="33">
        <v>392019.37</v>
      </c>
      <c r="G41" s="33">
        <v>258732.79999999999</v>
      </c>
      <c r="H41" s="33">
        <v>258732.79999999999</v>
      </c>
      <c r="I41" s="33">
        <v>258732.79999999999</v>
      </c>
      <c r="J41" s="33">
        <f>L41/2</f>
        <v>130579.07</v>
      </c>
      <c r="K41" s="59">
        <v>258732.79999999999</v>
      </c>
      <c r="L41" s="136">
        <v>261158.14</v>
      </c>
      <c r="M41" s="128">
        <f>-(M177+M178)</f>
        <v>323035.96999999997</v>
      </c>
      <c r="N41" s="128">
        <f>-(N177+N178)</f>
        <v>323035.96999999997</v>
      </c>
      <c r="O41" s="128"/>
      <c r="P41" s="354">
        <v>226677.52</v>
      </c>
      <c r="Q41" s="128">
        <v>112719.42</v>
      </c>
      <c r="R41" s="128">
        <v>308000</v>
      </c>
      <c r="S41" s="270"/>
      <c r="T41" s="137"/>
      <c r="U41" s="137"/>
      <c r="V41" s="137"/>
      <c r="W41" s="137"/>
      <c r="X41" s="137"/>
      <c r="Z41" s="34">
        <v>10085.51</v>
      </c>
      <c r="AA41" s="34">
        <f t="shared" si="26"/>
        <v>8266.8114754098369</v>
      </c>
      <c r="AB41" s="35" t="s">
        <v>92</v>
      </c>
      <c r="AC41" s="35" t="s">
        <v>126</v>
      </c>
      <c r="AD41" s="757"/>
      <c r="AE41" s="36">
        <v>4133.41</v>
      </c>
      <c r="AF41" s="34">
        <f>AE41</f>
        <v>4133.41</v>
      </c>
      <c r="AG41" s="34"/>
      <c r="AH41" t="s">
        <v>127</v>
      </c>
      <c r="AI41" s="751"/>
    </row>
    <row r="42" spans="1:37" x14ac:dyDescent="0.25">
      <c r="A42" s="37" t="s">
        <v>128</v>
      </c>
      <c r="B42" s="6" t="s">
        <v>129</v>
      </c>
      <c r="C42" s="6" t="s">
        <v>130</v>
      </c>
      <c r="D42" s="37" t="s">
        <v>131</v>
      </c>
      <c r="E42" s="59">
        <v>3094.78</v>
      </c>
      <c r="F42" s="59">
        <v>3094.79</v>
      </c>
      <c r="G42" s="59">
        <v>0</v>
      </c>
      <c r="H42" s="59">
        <v>0</v>
      </c>
      <c r="I42" s="240">
        <v>3094.79</v>
      </c>
      <c r="J42" s="59">
        <f>L42/2</f>
        <v>1547.39</v>
      </c>
      <c r="K42" s="33">
        <v>3094.79</v>
      </c>
      <c r="L42" s="138">
        <v>3094.78</v>
      </c>
      <c r="M42" s="59">
        <v>3094.78</v>
      </c>
      <c r="N42" s="59">
        <v>3094.78</v>
      </c>
      <c r="O42" s="59">
        <f>3775.64/1.22</f>
        <v>3094.7868852459014</v>
      </c>
      <c r="P42" s="352">
        <v>0</v>
      </c>
      <c r="Q42" s="59">
        <f>R42/2</f>
        <v>1547.3934426229507</v>
      </c>
      <c r="R42" s="59">
        <f>3775.64/1.22</f>
        <v>3094.7868852459014</v>
      </c>
      <c r="S42" s="270"/>
      <c r="Z42" s="34">
        <v>1040</v>
      </c>
      <c r="AA42" s="34">
        <f t="shared" si="26"/>
        <v>852.45901639344265</v>
      </c>
      <c r="AB42" s="35" t="s">
        <v>92</v>
      </c>
      <c r="AC42" s="35" t="s">
        <v>132</v>
      </c>
      <c r="AD42" s="757"/>
      <c r="AE42" s="36">
        <v>656.43</v>
      </c>
      <c r="AF42" s="34">
        <f>AE42</f>
        <v>656.43</v>
      </c>
      <c r="AG42" s="34"/>
      <c r="AH42" t="s">
        <v>133</v>
      </c>
      <c r="AI42" s="751"/>
    </row>
    <row r="43" spans="1:37" x14ac:dyDescent="0.25">
      <c r="A43" s="26" t="s">
        <v>134</v>
      </c>
      <c r="B43" s="27"/>
      <c r="C43" s="27"/>
      <c r="D43" s="26" t="s">
        <v>135</v>
      </c>
      <c r="E43" s="38">
        <f t="shared" ref="E43:Q43" si="27">SUM(E44:E48)</f>
        <v>601875.07999999996</v>
      </c>
      <c r="F43" s="38">
        <f t="shared" si="27"/>
        <v>610543.08000000007</v>
      </c>
      <c r="G43" s="38">
        <f t="shared" si="27"/>
        <v>365044.97000000003</v>
      </c>
      <c r="H43" s="38">
        <f t="shared" si="27"/>
        <v>101156.88</v>
      </c>
      <c r="I43" s="237">
        <f>SUM(I44:I48)</f>
        <v>476818.84</v>
      </c>
      <c r="J43" s="38">
        <f t="shared" si="27"/>
        <v>274633.83999999997</v>
      </c>
      <c r="K43" s="38">
        <f t="shared" si="27"/>
        <v>476818.84</v>
      </c>
      <c r="L43" s="38">
        <f>SUM(L44:L48)</f>
        <v>553598.67999999993</v>
      </c>
      <c r="M43" s="38">
        <f t="shared" si="27"/>
        <v>242103.08</v>
      </c>
      <c r="N43" s="38">
        <f>SUM(N44:N48)</f>
        <v>243705.55</v>
      </c>
      <c r="O43" s="38">
        <f t="shared" si="27"/>
        <v>243129.10196721309</v>
      </c>
      <c r="P43" s="38">
        <f t="shared" si="27"/>
        <v>207526.63</v>
      </c>
      <c r="Q43" s="38">
        <f t="shared" si="27"/>
        <v>131212.09196721311</v>
      </c>
      <c r="R43" s="38">
        <f>SUM(R44:R48)</f>
        <v>262424.18393442623</v>
      </c>
      <c r="S43" s="270">
        <f>N43-R43</f>
        <v>-18718.633934426238</v>
      </c>
      <c r="Z43" s="34">
        <v>76930.25</v>
      </c>
      <c r="AA43" s="34">
        <f t="shared" si="26"/>
        <v>63057.581967213118</v>
      </c>
      <c r="AB43" s="35" t="s">
        <v>92</v>
      </c>
      <c r="AC43" s="35" t="s">
        <v>136</v>
      </c>
      <c r="AD43" s="757"/>
      <c r="AE43" s="36">
        <v>20727.830000000002</v>
      </c>
      <c r="AF43" s="34">
        <v>22413.759999999998</v>
      </c>
      <c r="AG43" s="34"/>
      <c r="AH43" t="s">
        <v>137</v>
      </c>
      <c r="AI43" s="751"/>
    </row>
    <row r="44" spans="1:37" ht="15" customHeight="1" x14ac:dyDescent="0.25">
      <c r="A44" s="37" t="s">
        <v>138</v>
      </c>
      <c r="B44" s="6" t="s">
        <v>139</v>
      </c>
      <c r="C44" s="6" t="s">
        <v>140</v>
      </c>
      <c r="D44" s="37" t="s">
        <v>141</v>
      </c>
      <c r="E44" s="59">
        <v>203103.08</v>
      </c>
      <c r="F44" s="59">
        <v>202825.23</v>
      </c>
      <c r="G44" s="59">
        <v>101156.88</v>
      </c>
      <c r="H44" s="59">
        <v>101156.88</v>
      </c>
      <c r="I44" s="33">
        <f>-10616.99+95239.35+4133.41+5375.74+7025.37+84641.08+4133.4+5357.02+7025.37</f>
        <v>202313.75</v>
      </c>
      <c r="J44" s="59">
        <f>-(J182+J184)</f>
        <v>101551.54</v>
      </c>
      <c r="K44" s="33">
        <v>202313.75</v>
      </c>
      <c r="L44" s="127">
        <f>-(L182+L184)</f>
        <v>203103.08</v>
      </c>
      <c r="M44" s="128">
        <v>203103.08</v>
      </c>
      <c r="N44" s="128">
        <v>203103.08</v>
      </c>
      <c r="O44" s="128">
        <f>195231.55+(15000/1.22)</f>
        <v>207526.63196721309</v>
      </c>
      <c r="P44" s="352">
        <v>207526.63</v>
      </c>
      <c r="Q44" s="128">
        <f>R44/2</f>
        <v>103763.31598360655</v>
      </c>
      <c r="R44" s="128">
        <f>O44</f>
        <v>207526.63196721309</v>
      </c>
      <c r="S44" s="282"/>
      <c r="Z44" s="34">
        <v>59738.080000000002</v>
      </c>
      <c r="AA44" s="34">
        <f t="shared" si="26"/>
        <v>48965.639344262301</v>
      </c>
      <c r="AB44" s="35" t="s">
        <v>92</v>
      </c>
      <c r="AC44" s="35" t="s">
        <v>142</v>
      </c>
      <c r="AD44" s="759"/>
      <c r="AE44" s="760">
        <f>51753.45+30877.96+32205.86+33771.77+28375.37+26169.87+28581.06+15707.82+16444.93</f>
        <v>263888.09000000003</v>
      </c>
      <c r="AF44" s="758"/>
      <c r="AG44" s="758"/>
      <c r="AI44" s="751" t="s">
        <v>143</v>
      </c>
      <c r="AJ44" s="55">
        <f>16444.93+15707.82+28581.06+26169.87+28375.37+33771.77+32205.86+30877.96+51753.45</f>
        <v>263888.08999999997</v>
      </c>
      <c r="AK44" t="s">
        <v>96</v>
      </c>
    </row>
    <row r="45" spans="1:37" x14ac:dyDescent="0.25">
      <c r="A45" s="32"/>
      <c r="B45" s="6" t="s">
        <v>139</v>
      </c>
      <c r="C45" s="6" t="s">
        <v>144</v>
      </c>
      <c r="D45" s="60" t="s">
        <v>145</v>
      </c>
      <c r="E45" s="33">
        <v>363155</v>
      </c>
      <c r="F45" s="33">
        <v>372149.58</v>
      </c>
      <c r="G45" s="33">
        <v>263888.09000000003</v>
      </c>
      <c r="H45" s="33">
        <v>0</v>
      </c>
      <c r="I45" s="59">
        <f>51753.45+30877.96+32205.86+33771.77+28375.37+26169.87+28581.06+15707.82+16444.93</f>
        <v>263888.09000000003</v>
      </c>
      <c r="J45" s="33">
        <f>L45*0.5</f>
        <v>162773.79999999999</v>
      </c>
      <c r="K45" s="59">
        <v>263888.09000000003</v>
      </c>
      <c r="L45" s="127">
        <v>325547.59999999998</v>
      </c>
      <c r="M45" s="128">
        <v>0</v>
      </c>
      <c r="N45" s="128">
        <v>0</v>
      </c>
      <c r="O45" s="128"/>
      <c r="P45" s="354">
        <v>0</v>
      </c>
      <c r="Q45" s="128">
        <v>0</v>
      </c>
      <c r="R45" s="128">
        <v>0</v>
      </c>
      <c r="S45" s="282"/>
      <c r="Z45" s="34">
        <v>360000</v>
      </c>
      <c r="AA45" s="34">
        <f t="shared" si="26"/>
        <v>295081.96721311478</v>
      </c>
      <c r="AB45" s="35" t="s">
        <v>92</v>
      </c>
      <c r="AC45" s="35" t="s">
        <v>142</v>
      </c>
      <c r="AD45" s="759"/>
      <c r="AE45" s="760"/>
      <c r="AF45" s="758"/>
      <c r="AG45" s="758"/>
      <c r="AI45" s="751"/>
    </row>
    <row r="46" spans="1:37" x14ac:dyDescent="0.25">
      <c r="A46" s="32"/>
      <c r="B46" s="6" t="s">
        <v>139</v>
      </c>
      <c r="C46" s="6" t="s">
        <v>146</v>
      </c>
      <c r="D46" s="37" t="s">
        <v>147</v>
      </c>
      <c r="E46" s="33">
        <v>25000</v>
      </c>
      <c r="F46" s="33">
        <v>24965.8</v>
      </c>
      <c r="G46" s="33">
        <v>0</v>
      </c>
      <c r="H46" s="33">
        <v>0</v>
      </c>
      <c r="I46" s="33"/>
      <c r="J46" s="33">
        <f>-J186</f>
        <v>5000</v>
      </c>
      <c r="K46" s="33">
        <v>0</v>
      </c>
      <c r="L46" s="127">
        <f>-L186</f>
        <v>10000</v>
      </c>
      <c r="M46" s="33">
        <v>25000</v>
      </c>
      <c r="N46" s="33">
        <v>25000</v>
      </c>
      <c r="O46" s="33">
        <v>25000</v>
      </c>
      <c r="P46" s="352">
        <v>0</v>
      </c>
      <c r="Q46" s="128">
        <f>R46/2</f>
        <v>12500</v>
      </c>
      <c r="R46" s="33">
        <f>-R186</f>
        <v>25000</v>
      </c>
      <c r="S46" s="269"/>
      <c r="Z46" s="756" t="s">
        <v>70</v>
      </c>
      <c r="AA46" s="756"/>
      <c r="AB46" s="756"/>
      <c r="AC46" s="756"/>
      <c r="AD46" s="756"/>
    </row>
    <row r="47" spans="1:37" x14ac:dyDescent="0.25">
      <c r="A47" s="32"/>
      <c r="B47" s="6" t="s">
        <v>139</v>
      </c>
      <c r="C47" s="6" t="s">
        <v>148</v>
      </c>
      <c r="D47" s="37" t="s">
        <v>149</v>
      </c>
      <c r="E47" s="33">
        <v>10617</v>
      </c>
      <c r="F47" s="33">
        <v>10602.47</v>
      </c>
      <c r="G47" s="33">
        <v>0</v>
      </c>
      <c r="H47" s="33">
        <v>0</v>
      </c>
      <c r="I47" s="33">
        <v>10617</v>
      </c>
      <c r="J47" s="33">
        <f>L47*0.5</f>
        <v>5308.5</v>
      </c>
      <c r="K47" s="59">
        <v>10617</v>
      </c>
      <c r="L47" s="127">
        <f>E47</f>
        <v>10617</v>
      </c>
      <c r="M47" s="139">
        <f>10000-1000</f>
        <v>9000</v>
      </c>
      <c r="N47" s="140">
        <v>10602.47</v>
      </c>
      <c r="O47" s="140">
        <v>10602.47</v>
      </c>
      <c r="P47" s="354">
        <v>0</v>
      </c>
      <c r="Q47" s="128">
        <f>R47/2</f>
        <v>5301.2349999999997</v>
      </c>
      <c r="R47" s="140">
        <f>O47</f>
        <v>10602.47</v>
      </c>
      <c r="S47" s="269"/>
      <c r="Z47" s="3" t="s">
        <v>23</v>
      </c>
      <c r="AA47" s="3" t="s">
        <v>24</v>
      </c>
      <c r="AB47" s="3"/>
      <c r="AC47" s="3"/>
      <c r="AD47" s="3"/>
      <c r="AE47" s="30" t="s">
        <v>25</v>
      </c>
      <c r="AF47" s="30" t="s">
        <v>26</v>
      </c>
      <c r="AG47" s="30" t="s">
        <v>89</v>
      </c>
    </row>
    <row r="48" spans="1:37" x14ac:dyDescent="0.25">
      <c r="A48" s="32"/>
      <c r="B48" s="6"/>
      <c r="C48" s="6" t="s">
        <v>734</v>
      </c>
      <c r="D48" s="32" t="s">
        <v>735</v>
      </c>
      <c r="E48" s="33">
        <v>0</v>
      </c>
      <c r="F48" s="33"/>
      <c r="G48" s="33"/>
      <c r="H48" s="33"/>
      <c r="I48" s="33"/>
      <c r="J48" s="33"/>
      <c r="K48" s="33"/>
      <c r="L48" s="127">
        <f>-L187</f>
        <v>4331</v>
      </c>
      <c r="M48" s="127">
        <f>-M187</f>
        <v>5000</v>
      </c>
      <c r="N48" s="140">
        <v>5000</v>
      </c>
      <c r="O48" s="303"/>
      <c r="P48" s="352">
        <v>0</v>
      </c>
      <c r="Q48" s="128">
        <f>R48/2</f>
        <v>9647.5409836065573</v>
      </c>
      <c r="R48" s="348">
        <f>7000+(15000/1.22)</f>
        <v>19295.081967213115</v>
      </c>
      <c r="S48" s="308" t="s">
        <v>953</v>
      </c>
      <c r="T48" s="284"/>
      <c r="U48" s="92" t="s">
        <v>900</v>
      </c>
      <c r="V48" s="92"/>
      <c r="W48" s="92"/>
      <c r="X48" s="92"/>
      <c r="Z48" s="3"/>
      <c r="AA48" s="3"/>
      <c r="AB48" s="3"/>
      <c r="AC48" s="3"/>
      <c r="AD48" s="3"/>
      <c r="AE48" s="30"/>
      <c r="AF48" s="30"/>
      <c r="AG48" s="30"/>
    </row>
    <row r="49" spans="1:35" ht="15" customHeight="1" x14ac:dyDescent="0.25">
      <c r="A49" s="26" t="s">
        <v>150</v>
      </c>
      <c r="B49" s="27"/>
      <c r="C49" s="27"/>
      <c r="D49" s="26" t="s">
        <v>151</v>
      </c>
      <c r="E49" s="38">
        <f t="shared" ref="E49:Q49" si="28">E50</f>
        <v>305516</v>
      </c>
      <c r="F49" s="38">
        <f t="shared" si="28"/>
        <v>305516.39</v>
      </c>
      <c r="G49" s="38">
        <f t="shared" si="28"/>
        <v>152758.19</v>
      </c>
      <c r="H49" s="38">
        <f t="shared" si="28"/>
        <v>152758.19</v>
      </c>
      <c r="I49" s="237">
        <f>I50</f>
        <v>305516.39</v>
      </c>
      <c r="J49" s="38">
        <f t="shared" si="28"/>
        <v>152758.19500000001</v>
      </c>
      <c r="K49" s="38">
        <f t="shared" si="28"/>
        <v>305516.39</v>
      </c>
      <c r="L49" s="134">
        <f t="shared" si="28"/>
        <v>305516.39</v>
      </c>
      <c r="M49" s="135">
        <f t="shared" si="28"/>
        <v>326291.09000000003</v>
      </c>
      <c r="N49" s="135">
        <f>N50</f>
        <v>326291.09000000003</v>
      </c>
      <c r="O49" s="135">
        <f t="shared" si="28"/>
        <v>326291.09000000003</v>
      </c>
      <c r="P49" s="135">
        <f t="shared" si="28"/>
        <v>163145.54999999999</v>
      </c>
      <c r="Q49" s="135">
        <f t="shared" si="28"/>
        <v>163145.54500000001</v>
      </c>
      <c r="R49" s="135">
        <f>R50</f>
        <v>326291.09000000003</v>
      </c>
      <c r="S49" s="270"/>
      <c r="Z49" s="34">
        <v>4317.58</v>
      </c>
      <c r="AA49" s="34">
        <f>Z49/1.22</f>
        <v>3539</v>
      </c>
      <c r="AB49" s="35" t="s">
        <v>92</v>
      </c>
      <c r="AC49" s="35" t="s">
        <v>136</v>
      </c>
      <c r="AD49" s="757">
        <f>SUM(Z49:Z51)</f>
        <v>12952.74</v>
      </c>
      <c r="AE49" s="758"/>
      <c r="AF49" s="758">
        <f>SUM(AA49:AA51)</f>
        <v>10617</v>
      </c>
      <c r="AG49" s="758"/>
      <c r="AH49" t="s">
        <v>152</v>
      </c>
      <c r="AI49" s="751" t="s">
        <v>153</v>
      </c>
    </row>
    <row r="50" spans="1:35" x14ac:dyDescent="0.25">
      <c r="A50" s="32" t="s">
        <v>154</v>
      </c>
      <c r="B50" s="6" t="s">
        <v>155</v>
      </c>
      <c r="C50" s="6" t="s">
        <v>156</v>
      </c>
      <c r="D50" s="32" t="s">
        <v>157</v>
      </c>
      <c r="E50" s="33">
        <v>305516</v>
      </c>
      <c r="F50" s="33">
        <v>305516.39</v>
      </c>
      <c r="G50" s="33">
        <v>152758.19</v>
      </c>
      <c r="H50" s="33">
        <v>152758.19</v>
      </c>
      <c r="I50" s="33">
        <f>152758.19+152758.2</f>
        <v>305516.39</v>
      </c>
      <c r="J50" s="33">
        <f>L50*0.5</f>
        <v>152758.19500000001</v>
      </c>
      <c r="K50" s="59">
        <v>305516.39</v>
      </c>
      <c r="L50" s="127">
        <f>F50</f>
        <v>305516.39</v>
      </c>
      <c r="M50" s="128">
        <v>326291.09000000003</v>
      </c>
      <c r="N50" s="128">
        <v>326291.09000000003</v>
      </c>
      <c r="O50" s="128">
        <f>N50</f>
        <v>326291.09000000003</v>
      </c>
      <c r="P50" s="352">
        <v>163145.54999999999</v>
      </c>
      <c r="Q50" s="128">
        <f>R50/2</f>
        <v>163145.54500000001</v>
      </c>
      <c r="R50" s="128">
        <f>O50</f>
        <v>326291.09000000003</v>
      </c>
      <c r="S50" s="269"/>
      <c r="Z50" s="34">
        <v>4317.58</v>
      </c>
      <c r="AA50" s="34">
        <f>Z50/1.22</f>
        <v>3539</v>
      </c>
      <c r="AB50" s="35" t="s">
        <v>92</v>
      </c>
      <c r="AC50" s="35" t="s">
        <v>112</v>
      </c>
      <c r="AD50" s="757"/>
      <c r="AE50" s="758"/>
      <c r="AF50" s="758"/>
      <c r="AG50" s="758"/>
      <c r="AH50" t="s">
        <v>152</v>
      </c>
      <c r="AI50" s="751"/>
    </row>
    <row r="51" spans="1:35" x14ac:dyDescent="0.25">
      <c r="A51" s="23" t="s">
        <v>158</v>
      </c>
      <c r="B51" s="24"/>
      <c r="C51" s="24"/>
      <c r="D51" s="23" t="s">
        <v>159</v>
      </c>
      <c r="E51" s="61">
        <f t="shared" ref="E51:M51" si="29">E52+E53+E54</f>
        <v>32786.885245901605</v>
      </c>
      <c r="F51" s="61">
        <f t="shared" si="29"/>
        <v>32553.27</v>
      </c>
      <c r="G51" s="61">
        <f t="shared" si="29"/>
        <v>0</v>
      </c>
      <c r="H51" s="61">
        <f t="shared" si="29"/>
        <v>0</v>
      </c>
      <c r="I51" s="241">
        <f t="shared" ref="I51" si="30">I52+I53+I54</f>
        <v>0</v>
      </c>
      <c r="J51" s="61">
        <f t="shared" si="29"/>
        <v>20114.948</v>
      </c>
      <c r="K51" s="61">
        <f t="shared" si="29"/>
        <v>0</v>
      </c>
      <c r="L51" s="141">
        <f>L52+L53+L54</f>
        <v>40229.896000000001</v>
      </c>
      <c r="M51" s="142">
        <f t="shared" si="29"/>
        <v>54553.271000000001</v>
      </c>
      <c r="N51" s="142">
        <f>SUM(N52:N54)</f>
        <v>54553.271000000001</v>
      </c>
      <c r="O51" s="142">
        <f t="shared" ref="O51:P51" si="31">SUM(O52:O55)</f>
        <v>246339.93639344262</v>
      </c>
      <c r="P51" s="142">
        <f t="shared" si="31"/>
        <v>99387.56</v>
      </c>
      <c r="Q51" s="142">
        <f>SUM(Q52:Q54)</f>
        <v>20231.8675</v>
      </c>
      <c r="R51" s="142">
        <f>SUM(R52:R54)</f>
        <v>40463.735000000001</v>
      </c>
      <c r="S51" s="273">
        <f>N51-R51</f>
        <v>14089.536</v>
      </c>
      <c r="Z51" s="34">
        <v>4317.58</v>
      </c>
      <c r="AA51" s="34">
        <f>Z51/1.22</f>
        <v>3539</v>
      </c>
      <c r="AB51" s="35" t="s">
        <v>92</v>
      </c>
      <c r="AC51" s="35" t="s">
        <v>116</v>
      </c>
      <c r="AD51" s="757"/>
      <c r="AE51" s="758"/>
      <c r="AF51" s="758"/>
      <c r="AG51" s="758"/>
      <c r="AH51" t="s">
        <v>152</v>
      </c>
      <c r="AI51" s="751"/>
    </row>
    <row r="52" spans="1:35" x14ac:dyDescent="0.25">
      <c r="A52" s="32" t="s">
        <v>160</v>
      </c>
      <c r="B52" s="62" t="s">
        <v>161</v>
      </c>
      <c r="C52" s="6" t="s">
        <v>162</v>
      </c>
      <c r="D52" s="32" t="s">
        <v>163</v>
      </c>
      <c r="E52" s="33">
        <v>15419</v>
      </c>
      <c r="F52" s="33">
        <v>15419</v>
      </c>
      <c r="G52" s="33">
        <v>0</v>
      </c>
      <c r="H52" s="33">
        <v>0</v>
      </c>
      <c r="I52" s="33"/>
      <c r="J52" s="33">
        <f>L52*0.5</f>
        <v>7709.5</v>
      </c>
      <c r="K52" s="33">
        <v>0</v>
      </c>
      <c r="L52" s="127">
        <f>F52</f>
        <v>15419</v>
      </c>
      <c r="M52" s="216">
        <v>15419</v>
      </c>
      <c r="N52" s="128">
        <v>15419</v>
      </c>
      <c r="O52" s="128">
        <f>N52</f>
        <v>15419</v>
      </c>
      <c r="P52" s="128">
        <v>0</v>
      </c>
      <c r="Q52" s="128">
        <f>R52/2</f>
        <v>7709.5</v>
      </c>
      <c r="R52" s="128">
        <f>O52</f>
        <v>15419</v>
      </c>
      <c r="S52" s="269"/>
    </row>
    <row r="53" spans="1:35" x14ac:dyDescent="0.25">
      <c r="A53" s="37" t="s">
        <v>164</v>
      </c>
      <c r="B53" s="6" t="s">
        <v>161</v>
      </c>
      <c r="C53" s="6" t="s">
        <v>165</v>
      </c>
      <c r="D53" s="37" t="s">
        <v>166</v>
      </c>
      <c r="E53" s="33">
        <v>17367.885245901602</v>
      </c>
      <c r="F53" s="33">
        <v>17134.27</v>
      </c>
      <c r="G53" s="33">
        <v>0</v>
      </c>
      <c r="H53" s="33">
        <v>0</v>
      </c>
      <c r="I53" s="33"/>
      <c r="J53" s="33">
        <f>L53*0.5</f>
        <v>8567.1355000000003</v>
      </c>
      <c r="K53" s="33">
        <v>0</v>
      </c>
      <c r="L53" s="127">
        <f>-L191*1.1</f>
        <v>17134.271000000001</v>
      </c>
      <c r="M53" s="127">
        <f>-M191*1.1</f>
        <v>17134.271000000001</v>
      </c>
      <c r="N53" s="128">
        <f>-N191*1.1</f>
        <v>17134.271000000001</v>
      </c>
      <c r="O53" s="128">
        <v>17367.89</v>
      </c>
      <c r="P53" s="128">
        <v>0</v>
      </c>
      <c r="Q53" s="128">
        <f>R53/2</f>
        <v>8683.9449999999997</v>
      </c>
      <c r="R53" s="128">
        <f>O53</f>
        <v>17367.89</v>
      </c>
      <c r="S53" s="269"/>
    </row>
    <row r="54" spans="1:35" x14ac:dyDescent="0.25">
      <c r="A54" s="37"/>
      <c r="B54" s="6" t="s">
        <v>161</v>
      </c>
      <c r="C54" s="6" t="s">
        <v>167</v>
      </c>
      <c r="D54" s="37" t="s">
        <v>168</v>
      </c>
      <c r="E54" s="33">
        <v>0</v>
      </c>
      <c r="F54" s="33">
        <v>0</v>
      </c>
      <c r="G54" s="33">
        <v>0</v>
      </c>
      <c r="H54" s="33">
        <v>0</v>
      </c>
      <c r="I54" s="33"/>
      <c r="J54" s="33">
        <f>L54*0.5</f>
        <v>3838.3125000000005</v>
      </c>
      <c r="K54" s="33">
        <v>0</v>
      </c>
      <c r="L54" s="127">
        <f>-(L192*1.1)</f>
        <v>7676.6250000000009</v>
      </c>
      <c r="M54" s="127">
        <f>-M192*1.1</f>
        <v>22000</v>
      </c>
      <c r="N54" s="128">
        <f>-N192*1.1</f>
        <v>22000</v>
      </c>
      <c r="O54" s="128">
        <v>45597.31</v>
      </c>
      <c r="P54" s="128">
        <v>0</v>
      </c>
      <c r="Q54" s="128">
        <f>R54/2</f>
        <v>3838.4225000000001</v>
      </c>
      <c r="R54" s="128">
        <f>6978.95*1.1</f>
        <v>7676.8450000000003</v>
      </c>
      <c r="S54" s="269"/>
    </row>
    <row r="55" spans="1:35" x14ac:dyDescent="0.25">
      <c r="A55" s="23" t="s">
        <v>169</v>
      </c>
      <c r="B55" s="24"/>
      <c r="C55" s="24"/>
      <c r="D55" s="23" t="s">
        <v>170</v>
      </c>
      <c r="E55" s="61">
        <f t="shared" ref="E55:Q55" si="32">SUM(E56:E59)</f>
        <v>172734.08000000002</v>
      </c>
      <c r="F55" s="61">
        <f t="shared" si="32"/>
        <v>172733.28</v>
      </c>
      <c r="G55" s="61">
        <f t="shared" si="32"/>
        <v>114311.63</v>
      </c>
      <c r="H55" s="61">
        <f t="shared" si="32"/>
        <v>114311.63</v>
      </c>
      <c r="I55" s="241">
        <f>SUM(I56:I59)</f>
        <v>114311.63</v>
      </c>
      <c r="J55" s="61">
        <f t="shared" si="32"/>
        <v>86367.040000000008</v>
      </c>
      <c r="K55" s="61">
        <f t="shared" si="32"/>
        <v>114311.63</v>
      </c>
      <c r="L55" s="141">
        <f>SUM(L56:L59)</f>
        <v>172734.08000000002</v>
      </c>
      <c r="M55" s="142">
        <f t="shared" si="32"/>
        <v>167955.72</v>
      </c>
      <c r="N55" s="142">
        <f>SUM(N56:N59)</f>
        <v>167955.72</v>
      </c>
      <c r="O55" s="142">
        <f t="shared" si="32"/>
        <v>167955.73639344261</v>
      </c>
      <c r="P55" s="142">
        <f>SUM(P56:P59)</f>
        <v>99387.56</v>
      </c>
      <c r="Q55" s="142">
        <f t="shared" si="32"/>
        <v>83598.040999999997</v>
      </c>
      <c r="R55" s="142">
        <f>SUM(R56:R59)</f>
        <v>167196.08199999999</v>
      </c>
      <c r="S55" s="269"/>
    </row>
    <row r="56" spans="1:35" x14ac:dyDescent="0.25">
      <c r="A56" s="32" t="s">
        <v>171</v>
      </c>
      <c r="B56" s="6" t="s">
        <v>172</v>
      </c>
      <c r="C56" s="6" t="s">
        <v>173</v>
      </c>
      <c r="D56" s="32" t="s">
        <v>174</v>
      </c>
      <c r="E56" s="33">
        <v>61065.57</v>
      </c>
      <c r="F56" s="33">
        <v>61065.57</v>
      </c>
      <c r="G56" s="33">
        <v>30532.78</v>
      </c>
      <c r="H56" s="33">
        <v>30532.78</v>
      </c>
      <c r="I56" s="33">
        <v>30532.78</v>
      </c>
      <c r="J56" s="33">
        <f>L56*0.5</f>
        <v>30532.785</v>
      </c>
      <c r="K56" s="59">
        <v>30532.78</v>
      </c>
      <c r="L56" s="127">
        <v>61065.57</v>
      </c>
      <c r="M56" s="143">
        <v>61065.57</v>
      </c>
      <c r="N56" s="143">
        <v>61065.57</v>
      </c>
      <c r="O56" s="143">
        <f>N56</f>
        <v>61065.57</v>
      </c>
      <c r="P56" s="143">
        <v>30532.785</v>
      </c>
      <c r="Q56" s="128">
        <f>R56/2</f>
        <v>30532.785</v>
      </c>
      <c r="R56" s="143">
        <f>N56</f>
        <v>61065.57</v>
      </c>
      <c r="S56" s="269"/>
    </row>
    <row r="57" spans="1:35" x14ac:dyDescent="0.25">
      <c r="A57" s="37" t="s">
        <v>175</v>
      </c>
      <c r="B57" s="6" t="s">
        <v>172</v>
      </c>
      <c r="C57" s="6" t="s">
        <v>176</v>
      </c>
      <c r="D57" s="37" t="s">
        <v>177</v>
      </c>
      <c r="E57" s="59">
        <v>25931.15</v>
      </c>
      <c r="F57" s="59">
        <v>25931.15</v>
      </c>
      <c r="G57" s="59">
        <v>12965.57</v>
      </c>
      <c r="H57" s="59">
        <v>12965.57</v>
      </c>
      <c r="I57" s="240">
        <v>12965.57</v>
      </c>
      <c r="J57" s="33">
        <f>L57*0.5</f>
        <v>12965.575000000001</v>
      </c>
      <c r="K57" s="33">
        <v>12965.57</v>
      </c>
      <c r="L57" s="138">
        <v>25931.15</v>
      </c>
      <c r="M57" s="144">
        <v>25931.15</v>
      </c>
      <c r="N57" s="144">
        <v>25931.15</v>
      </c>
      <c r="O57" s="144">
        <f>N57</f>
        <v>25931.15</v>
      </c>
      <c r="P57" s="144">
        <v>12965.575000000001</v>
      </c>
      <c r="Q57" s="128">
        <f>R57/2</f>
        <v>12965.575000000001</v>
      </c>
      <c r="R57" s="144">
        <f>N57</f>
        <v>25931.15</v>
      </c>
      <c r="S57" s="269"/>
      <c r="T57" t="s">
        <v>1018</v>
      </c>
    </row>
    <row r="58" spans="1:35" hidden="1" x14ac:dyDescent="0.25">
      <c r="A58" s="32" t="s">
        <v>178</v>
      </c>
      <c r="B58" s="310" t="s">
        <v>172</v>
      </c>
      <c r="C58" s="310" t="s">
        <v>179</v>
      </c>
      <c r="D58" s="311" t="s">
        <v>180</v>
      </c>
      <c r="E58" s="33">
        <v>4778.3599999999997</v>
      </c>
      <c r="F58" s="33">
        <v>4778.3599999999997</v>
      </c>
      <c r="G58" s="33">
        <v>2389.1799999999998</v>
      </c>
      <c r="H58" s="33">
        <v>2389.1799999999998</v>
      </c>
      <c r="I58" s="33">
        <v>2389.1799999999998</v>
      </c>
      <c r="J58" s="33">
        <f>L58*0.5</f>
        <v>2389.1799999999998</v>
      </c>
      <c r="K58" s="59">
        <v>2389.1799999999998</v>
      </c>
      <c r="L58" s="127">
        <v>4778.3599999999997</v>
      </c>
      <c r="M58" s="128">
        <v>0</v>
      </c>
      <c r="N58" s="128">
        <v>0</v>
      </c>
      <c r="O58" s="128"/>
      <c r="P58" s="128"/>
      <c r="Q58" s="128"/>
      <c r="R58" s="128">
        <f>N58</f>
        <v>0</v>
      </c>
      <c r="S58" s="269"/>
      <c r="AA58" s="63" t="s">
        <v>181</v>
      </c>
      <c r="AB58" s="64"/>
    </row>
    <row r="59" spans="1:35" x14ac:dyDescent="0.25">
      <c r="A59" s="32"/>
      <c r="B59" s="6" t="s">
        <v>172</v>
      </c>
      <c r="C59" s="6" t="s">
        <v>182</v>
      </c>
      <c r="D59" s="32" t="s">
        <v>183</v>
      </c>
      <c r="E59" s="33">
        <v>80959</v>
      </c>
      <c r="F59" s="33">
        <v>80958.2</v>
      </c>
      <c r="G59" s="33">
        <v>68424.100000000006</v>
      </c>
      <c r="H59" s="33">
        <v>68424.100000000006</v>
      </c>
      <c r="I59" s="33">
        <v>68424.100000000006</v>
      </c>
      <c r="J59" s="33">
        <f>L59*0.5</f>
        <v>40479.5</v>
      </c>
      <c r="K59" s="33">
        <v>68424.100000000006</v>
      </c>
      <c r="L59" s="127">
        <f>AA59+AA60</f>
        <v>80959</v>
      </c>
      <c r="M59" s="128">
        <v>80959</v>
      </c>
      <c r="N59" s="128">
        <v>80959</v>
      </c>
      <c r="O59" s="128">
        <f>98770/1.22</f>
        <v>80959.016393442624</v>
      </c>
      <c r="P59" s="128">
        <f>27944.2+27945</f>
        <v>55889.2</v>
      </c>
      <c r="Q59" s="128">
        <f>R59/2</f>
        <v>40099.680999999997</v>
      </c>
      <c r="R59" s="307">
        <f>T59+U62</f>
        <v>80199.361999999994</v>
      </c>
      <c r="S59" s="346" t="s">
        <v>1021</v>
      </c>
      <c r="T59" s="65">
        <v>55890</v>
      </c>
      <c r="U59" s="66" t="s">
        <v>185</v>
      </c>
      <c r="W59" s="145" t="s">
        <v>184</v>
      </c>
      <c r="X59" s="145"/>
      <c r="AA59" s="65">
        <v>55890</v>
      </c>
      <c r="AB59" s="66" t="s">
        <v>185</v>
      </c>
    </row>
    <row r="60" spans="1:35" x14ac:dyDescent="0.25">
      <c r="A60" s="67" t="s">
        <v>186</v>
      </c>
      <c r="B60" s="68"/>
      <c r="C60" s="68"/>
      <c r="D60" s="67" t="s">
        <v>187</v>
      </c>
      <c r="E60" s="61">
        <f t="shared" ref="E60:M60" si="33">SUM(E61:E68)</f>
        <v>555505.69999999995</v>
      </c>
      <c r="F60" s="61">
        <f t="shared" si="33"/>
        <v>14334.18</v>
      </c>
      <c r="G60" s="61">
        <f t="shared" si="33"/>
        <v>33934.43</v>
      </c>
      <c r="H60" s="61">
        <f t="shared" si="33"/>
        <v>33934.43</v>
      </c>
      <c r="I60" s="241">
        <f t="shared" ref="I60" si="34">SUM(I61:I68)</f>
        <v>33934.43</v>
      </c>
      <c r="J60" s="61">
        <f t="shared" si="33"/>
        <v>135656.90049999999</v>
      </c>
      <c r="K60" s="61">
        <f t="shared" si="33"/>
        <v>33934.43</v>
      </c>
      <c r="L60" s="141">
        <f>SUM(L61:L68)</f>
        <v>271313.80099999998</v>
      </c>
      <c r="M60" s="142">
        <f t="shared" si="33"/>
        <v>274471.7</v>
      </c>
      <c r="N60" s="475">
        <f>SUM(N61:N68)</f>
        <v>404471.7</v>
      </c>
      <c r="O60" s="475">
        <f t="shared" ref="O60:Q60" si="35">SUM(O61:O68)</f>
        <v>404471.7</v>
      </c>
      <c r="P60" s="475">
        <f t="shared" si="35"/>
        <v>0</v>
      </c>
      <c r="Q60" s="475">
        <f t="shared" si="35"/>
        <v>139741.22</v>
      </c>
      <c r="R60" s="475">
        <f>SUM(R61:R68)</f>
        <v>279482.44</v>
      </c>
      <c r="S60" s="273">
        <f>N60-R60</f>
        <v>124989.26000000001</v>
      </c>
      <c r="T60" s="332">
        <v>25069</v>
      </c>
      <c r="U60" s="347" t="s">
        <v>1017</v>
      </c>
      <c r="AA60" s="65">
        <v>25069</v>
      </c>
      <c r="AB60" s="66" t="s">
        <v>188</v>
      </c>
    </row>
    <row r="61" spans="1:35" x14ac:dyDescent="0.25">
      <c r="A61" s="32" t="s">
        <v>189</v>
      </c>
      <c r="B61" s="6" t="s">
        <v>190</v>
      </c>
      <c r="C61" s="6" t="s">
        <v>191</v>
      </c>
      <c r="D61" s="32" t="s">
        <v>192</v>
      </c>
      <c r="E61" s="33">
        <v>11928</v>
      </c>
      <c r="F61" s="33">
        <v>0</v>
      </c>
      <c r="G61" s="33">
        <v>0</v>
      </c>
      <c r="H61" s="33">
        <v>0</v>
      </c>
      <c r="I61" s="33"/>
      <c r="J61" s="33">
        <f t="shared" ref="J61:J68" si="36">L61*0.5</f>
        <v>5581.5574999999999</v>
      </c>
      <c r="K61" s="33">
        <v>0</v>
      </c>
      <c r="L61" s="127">
        <v>11163.115</v>
      </c>
      <c r="M61" s="128">
        <v>0</v>
      </c>
      <c r="N61" s="128">
        <v>0</v>
      </c>
      <c r="O61" s="128">
        <v>0</v>
      </c>
      <c r="P61" s="354">
        <v>0</v>
      </c>
      <c r="Q61" s="128">
        <f t="shared" ref="Q61:Q68" si="37">R61/2</f>
        <v>0</v>
      </c>
      <c r="R61" s="128">
        <v>0</v>
      </c>
      <c r="S61" s="269"/>
      <c r="T61" t="s">
        <v>1019</v>
      </c>
      <c r="U61" s="70">
        <f>4099.42+18000</f>
        <v>22099.42</v>
      </c>
      <c r="V61" s="284" t="s">
        <v>1096</v>
      </c>
      <c r="W61" s="284"/>
      <c r="Z61" s="752" t="s">
        <v>193</v>
      </c>
      <c r="AA61" s="752"/>
      <c r="AB61" s="752"/>
    </row>
    <row r="62" spans="1:35" x14ac:dyDescent="0.25">
      <c r="A62" s="37" t="s">
        <v>194</v>
      </c>
      <c r="B62" s="6" t="s">
        <v>190</v>
      </c>
      <c r="C62" s="6" t="s">
        <v>195</v>
      </c>
      <c r="D62" s="37" t="s">
        <v>196</v>
      </c>
      <c r="E62" s="33">
        <v>2539</v>
      </c>
      <c r="F62" s="33">
        <v>0</v>
      </c>
      <c r="G62" s="33">
        <v>0</v>
      </c>
      <c r="H62" s="33">
        <v>0</v>
      </c>
      <c r="I62" s="33"/>
      <c r="J62" s="33">
        <f t="shared" si="36"/>
        <v>1500.8195000000001</v>
      </c>
      <c r="K62" s="59">
        <v>0</v>
      </c>
      <c r="L62" s="127">
        <v>3001.6390000000001</v>
      </c>
      <c r="M62" s="128">
        <v>3002</v>
      </c>
      <c r="N62" s="128">
        <v>3002</v>
      </c>
      <c r="O62" s="128">
        <v>3002</v>
      </c>
      <c r="P62" s="352">
        <v>0</v>
      </c>
      <c r="Q62" s="128">
        <f t="shared" si="37"/>
        <v>1501</v>
      </c>
      <c r="R62" s="128">
        <v>3002</v>
      </c>
      <c r="S62" s="269"/>
      <c r="T62" s="284" t="s">
        <v>1020</v>
      </c>
      <c r="U62" s="285">
        <f>U61*1.1</f>
        <v>24309.362000000001</v>
      </c>
      <c r="Z62" s="69" t="s">
        <v>197</v>
      </c>
      <c r="AA62" s="65">
        <v>27945</v>
      </c>
      <c r="AB62" s="66" t="s">
        <v>198</v>
      </c>
    </row>
    <row r="63" spans="1:35" x14ac:dyDescent="0.25">
      <c r="A63" s="32" t="s">
        <v>199</v>
      </c>
      <c r="B63" s="6" t="s">
        <v>190</v>
      </c>
      <c r="C63" s="6" t="s">
        <v>200</v>
      </c>
      <c r="D63" s="32" t="s">
        <v>201</v>
      </c>
      <c r="E63" s="33">
        <v>7027</v>
      </c>
      <c r="F63" s="33">
        <v>0</v>
      </c>
      <c r="G63" s="33">
        <v>0</v>
      </c>
      <c r="H63" s="33">
        <v>0</v>
      </c>
      <c r="I63" s="33"/>
      <c r="J63" s="33">
        <f t="shared" si="36"/>
        <v>3903.6885000000002</v>
      </c>
      <c r="K63" s="33">
        <v>0</v>
      </c>
      <c r="L63" s="127">
        <v>7807.3770000000004</v>
      </c>
      <c r="M63" s="128">
        <v>7808</v>
      </c>
      <c r="N63" s="128">
        <v>7808</v>
      </c>
      <c r="O63" s="128">
        <v>7808</v>
      </c>
      <c r="P63" s="354">
        <v>0</v>
      </c>
      <c r="Q63" s="128">
        <f t="shared" si="37"/>
        <v>3904</v>
      </c>
      <c r="R63" s="128">
        <v>7808</v>
      </c>
      <c r="S63" s="269"/>
      <c r="U63" s="70"/>
      <c r="Z63" s="69" t="s">
        <v>202</v>
      </c>
      <c r="AA63" s="65">
        <v>40479.1</v>
      </c>
      <c r="AB63" s="66" t="s">
        <v>203</v>
      </c>
    </row>
    <row r="64" spans="1:35" ht="15" customHeight="1" x14ac:dyDescent="0.25">
      <c r="A64" s="37" t="s">
        <v>204</v>
      </c>
      <c r="B64" s="6" t="s">
        <v>190</v>
      </c>
      <c r="C64" s="6" t="s">
        <v>205</v>
      </c>
      <c r="D64" s="37" t="s">
        <v>206</v>
      </c>
      <c r="E64" s="33">
        <v>5277</v>
      </c>
      <c r="F64" s="33">
        <v>0</v>
      </c>
      <c r="G64" s="33">
        <v>0</v>
      </c>
      <c r="H64" s="33">
        <v>0</v>
      </c>
      <c r="I64" s="33"/>
      <c r="J64" s="33">
        <f t="shared" si="36"/>
        <v>2723.77</v>
      </c>
      <c r="K64" s="59">
        <v>0</v>
      </c>
      <c r="L64" s="127">
        <v>5447.54</v>
      </c>
      <c r="M64" s="128">
        <v>5448</v>
      </c>
      <c r="N64" s="128">
        <v>5448</v>
      </c>
      <c r="O64" s="128">
        <v>5448</v>
      </c>
      <c r="P64" s="352">
        <v>0</v>
      </c>
      <c r="Q64" s="128">
        <f t="shared" si="37"/>
        <v>2724</v>
      </c>
      <c r="R64" s="128">
        <v>5448</v>
      </c>
      <c r="S64" s="269"/>
      <c r="U64" s="70"/>
      <c r="Z64" s="753" t="s">
        <v>207</v>
      </c>
      <c r="AA64" s="753"/>
      <c r="AB64" s="753"/>
    </row>
    <row r="65" spans="1:28" x14ac:dyDescent="0.25">
      <c r="A65" s="32" t="s">
        <v>208</v>
      </c>
      <c r="B65" s="6" t="s">
        <v>190</v>
      </c>
      <c r="C65" s="6" t="s">
        <v>209</v>
      </c>
      <c r="D65" s="32" t="s">
        <v>210</v>
      </c>
      <c r="E65" s="33">
        <v>17368</v>
      </c>
      <c r="F65" s="33">
        <v>0</v>
      </c>
      <c r="G65" s="33">
        <v>0</v>
      </c>
      <c r="H65" s="33">
        <v>0</v>
      </c>
      <c r="I65" s="33"/>
      <c r="J65" s="33">
        <f t="shared" si="36"/>
        <v>10873.77</v>
      </c>
      <c r="K65" s="33">
        <v>0</v>
      </c>
      <c r="L65" s="127">
        <v>21747.54</v>
      </c>
      <c r="M65" s="128">
        <v>21747</v>
      </c>
      <c r="N65" s="128">
        <v>21747</v>
      </c>
      <c r="O65" s="128">
        <v>21747</v>
      </c>
      <c r="P65" s="354">
        <v>0</v>
      </c>
      <c r="Q65" s="128">
        <f t="shared" si="37"/>
        <v>10873.5</v>
      </c>
      <c r="R65" s="128">
        <v>21747</v>
      </c>
      <c r="S65" s="269"/>
      <c r="Z65" s="753"/>
      <c r="AA65" s="753"/>
      <c r="AB65" s="753"/>
    </row>
    <row r="66" spans="1:28" x14ac:dyDescent="0.25">
      <c r="A66" s="37" t="s">
        <v>211</v>
      </c>
      <c r="B66" s="6" t="s">
        <v>190</v>
      </c>
      <c r="C66" s="6" t="s">
        <v>212</v>
      </c>
      <c r="D66" s="37" t="s">
        <v>213</v>
      </c>
      <c r="E66" s="33">
        <v>73688</v>
      </c>
      <c r="F66" s="33">
        <v>14334.18</v>
      </c>
      <c r="G66" s="33">
        <v>0</v>
      </c>
      <c r="H66" s="33">
        <v>0</v>
      </c>
      <c r="I66" s="33"/>
      <c r="J66" s="33">
        <f t="shared" si="36"/>
        <v>36201.445</v>
      </c>
      <c r="K66" s="59">
        <v>0</v>
      </c>
      <c r="L66" s="127">
        <f>58058.89+14344</f>
        <v>72402.89</v>
      </c>
      <c r="M66" s="128">
        <f>88379+14344</f>
        <v>102723</v>
      </c>
      <c r="N66" s="128">
        <f>88379+14344</f>
        <v>102723</v>
      </c>
      <c r="O66" s="128">
        <f>88379+14344</f>
        <v>102723</v>
      </c>
      <c r="P66" s="352">
        <v>0</v>
      </c>
      <c r="Q66" s="128">
        <f t="shared" si="37"/>
        <v>51361.5</v>
      </c>
      <c r="R66" s="128">
        <f>88379+14344</f>
        <v>102723</v>
      </c>
      <c r="S66" s="269"/>
      <c r="Z66" s="753"/>
      <c r="AA66" s="753"/>
      <c r="AB66" s="753"/>
    </row>
    <row r="67" spans="1:28" x14ac:dyDescent="0.25">
      <c r="A67" s="37"/>
      <c r="B67" s="6" t="s">
        <v>190</v>
      </c>
      <c r="C67" s="6" t="s">
        <v>214</v>
      </c>
      <c r="D67" s="32" t="s">
        <v>215</v>
      </c>
      <c r="E67" s="33">
        <v>389441</v>
      </c>
      <c r="F67" s="33">
        <v>0</v>
      </c>
      <c r="G67" s="33">
        <v>33934.43</v>
      </c>
      <c r="H67" s="33">
        <v>33934.43</v>
      </c>
      <c r="I67" s="33">
        <v>33934.43</v>
      </c>
      <c r="J67" s="33">
        <f t="shared" si="36"/>
        <v>50753</v>
      </c>
      <c r="K67" s="33">
        <v>33934.43</v>
      </c>
      <c r="L67" s="131">
        <f>46000+5572+10000+6000+33934</f>
        <v>101506</v>
      </c>
      <c r="M67" s="128">
        <f>33934+46000+5572</f>
        <v>85506</v>
      </c>
      <c r="N67" s="473">
        <f>130000+33934+46000+5572</f>
        <v>215506</v>
      </c>
      <c r="O67" s="473">
        <f>130000+33934+46000+5572</f>
        <v>215506</v>
      </c>
      <c r="P67" s="474">
        <v>0</v>
      </c>
      <c r="Q67" s="473">
        <f t="shared" si="37"/>
        <v>45258.369999999995</v>
      </c>
      <c r="R67" s="473">
        <f>38944.74+46000+5572</f>
        <v>90516.739999999991</v>
      </c>
      <c r="S67" s="308" t="s">
        <v>971</v>
      </c>
      <c r="T67" s="92"/>
      <c r="U67" s="92"/>
      <c r="V67" s="92"/>
      <c r="W67" s="92"/>
      <c r="X67" s="92"/>
      <c r="Z67" s="753"/>
      <c r="AA67" s="753"/>
      <c r="AB67" s="753"/>
    </row>
    <row r="68" spans="1:28" x14ac:dyDescent="0.25">
      <c r="A68" s="37"/>
      <c r="B68" s="6" t="s">
        <v>190</v>
      </c>
      <c r="C68" s="6" t="s">
        <v>216</v>
      </c>
      <c r="D68" s="32" t="s">
        <v>217</v>
      </c>
      <c r="E68" s="33">
        <v>48237.7</v>
      </c>
      <c r="F68" s="33">
        <v>0</v>
      </c>
      <c r="G68" s="33">
        <v>0</v>
      </c>
      <c r="H68" s="33">
        <v>0</v>
      </c>
      <c r="I68" s="33"/>
      <c r="J68" s="33">
        <f t="shared" si="36"/>
        <v>24118.85</v>
      </c>
      <c r="K68" s="59">
        <v>0</v>
      </c>
      <c r="L68" s="127">
        <v>48237.7</v>
      </c>
      <c r="M68" s="128">
        <v>48237.7</v>
      </c>
      <c r="N68" s="128">
        <v>48237.7</v>
      </c>
      <c r="O68" s="128">
        <v>48237.7</v>
      </c>
      <c r="P68" s="352">
        <v>0</v>
      </c>
      <c r="Q68" s="128">
        <f t="shared" si="37"/>
        <v>24118.85</v>
      </c>
      <c r="R68" s="128">
        <v>48237.7</v>
      </c>
      <c r="S68" s="269"/>
      <c r="AA68" s="70"/>
    </row>
    <row r="69" spans="1:28" hidden="1" x14ac:dyDescent="0.25">
      <c r="A69" s="23" t="s">
        <v>218</v>
      </c>
      <c r="B69" s="24"/>
      <c r="C69" s="24"/>
      <c r="D69" s="23" t="s">
        <v>219</v>
      </c>
      <c r="E69" s="61">
        <f t="shared" ref="E69:K69" si="38">E70</f>
        <v>0</v>
      </c>
      <c r="F69" s="61">
        <f t="shared" si="38"/>
        <v>0</v>
      </c>
      <c r="G69" s="61">
        <f t="shared" si="38"/>
        <v>0</v>
      </c>
      <c r="H69" s="61">
        <f t="shared" si="38"/>
        <v>0</v>
      </c>
      <c r="I69" s="241">
        <v>0</v>
      </c>
      <c r="J69" s="61">
        <f t="shared" si="38"/>
        <v>0</v>
      </c>
      <c r="K69" s="61">
        <f t="shared" si="38"/>
        <v>0</v>
      </c>
      <c r="L69" s="141">
        <v>0</v>
      </c>
      <c r="M69" s="142">
        <v>0</v>
      </c>
      <c r="N69" s="142">
        <v>0</v>
      </c>
      <c r="O69" s="142">
        <v>0</v>
      </c>
      <c r="P69" s="142">
        <v>0</v>
      </c>
      <c r="Q69" s="142">
        <v>0</v>
      </c>
      <c r="R69" s="142">
        <v>0</v>
      </c>
      <c r="S69" s="273"/>
    </row>
    <row r="70" spans="1:28" hidden="1" x14ac:dyDescent="0.25">
      <c r="A70" s="37" t="s">
        <v>220</v>
      </c>
      <c r="B70" s="62" t="s">
        <v>221</v>
      </c>
      <c r="C70" s="310" t="s">
        <v>222</v>
      </c>
      <c r="D70" s="313" t="s">
        <v>223</v>
      </c>
      <c r="E70" s="314">
        <v>0</v>
      </c>
      <c r="F70" s="314">
        <v>0</v>
      </c>
      <c r="G70" s="314">
        <v>0</v>
      </c>
      <c r="H70" s="314">
        <v>0</v>
      </c>
      <c r="I70" s="314"/>
      <c r="J70" s="314">
        <v>0</v>
      </c>
      <c r="K70" s="358">
        <v>0</v>
      </c>
      <c r="L70" s="315">
        <v>0</v>
      </c>
      <c r="M70" s="312">
        <v>0</v>
      </c>
      <c r="N70" s="312">
        <v>0</v>
      </c>
      <c r="O70" s="128"/>
      <c r="P70" s="128">
        <v>0</v>
      </c>
      <c r="Q70" s="128"/>
      <c r="R70" s="128"/>
      <c r="S70" s="269"/>
    </row>
    <row r="71" spans="1:28" x14ac:dyDescent="0.25">
      <c r="A71" s="23" t="s">
        <v>224</v>
      </c>
      <c r="B71" s="24"/>
      <c r="C71" s="24"/>
      <c r="D71" s="23" t="s">
        <v>225</v>
      </c>
      <c r="E71" s="61">
        <f t="shared" ref="E71:Q71" si="39">E72</f>
        <v>15000</v>
      </c>
      <c r="F71" s="61">
        <f t="shared" si="39"/>
        <v>0</v>
      </c>
      <c r="G71" s="61">
        <f t="shared" si="39"/>
        <v>1440</v>
      </c>
      <c r="H71" s="61">
        <f t="shared" si="39"/>
        <v>1440</v>
      </c>
      <c r="I71" s="241">
        <f t="shared" ref="I71" si="40">I72</f>
        <v>1440</v>
      </c>
      <c r="J71" s="61">
        <f t="shared" si="39"/>
        <v>11211.538461538461</v>
      </c>
      <c r="K71" s="61">
        <f t="shared" si="39"/>
        <v>1440</v>
      </c>
      <c r="L71" s="141">
        <f>L72</f>
        <v>22423.076923076922</v>
      </c>
      <c r="M71" s="142">
        <f t="shared" si="39"/>
        <v>35000</v>
      </c>
      <c r="N71" s="142">
        <f t="shared" si="39"/>
        <v>35000</v>
      </c>
      <c r="O71" s="142">
        <f t="shared" si="39"/>
        <v>48914.59</v>
      </c>
      <c r="P71" s="142">
        <f t="shared" si="39"/>
        <v>16262.29</v>
      </c>
      <c r="Q71" s="142">
        <f t="shared" si="39"/>
        <v>29867.129999999997</v>
      </c>
      <c r="R71" s="142">
        <f>R72</f>
        <v>59734.259999999995</v>
      </c>
      <c r="S71" s="270">
        <f>N71-R71</f>
        <v>-24734.259999999995</v>
      </c>
      <c r="T71" s="70"/>
      <c r="U71" s="70"/>
      <c r="V71" s="70"/>
      <c r="W71" s="70"/>
      <c r="X71" s="70"/>
      <c r="Y71" s="70"/>
    </row>
    <row r="72" spans="1:28" ht="60" x14ac:dyDescent="0.25">
      <c r="A72" s="37" t="s">
        <v>226</v>
      </c>
      <c r="B72" s="62" t="s">
        <v>227</v>
      </c>
      <c r="C72" s="6" t="s">
        <v>228</v>
      </c>
      <c r="D72" s="37" t="s">
        <v>229</v>
      </c>
      <c r="E72" s="33">
        <v>15000</v>
      </c>
      <c r="F72" s="33">
        <v>0</v>
      </c>
      <c r="G72" s="33">
        <v>1440</v>
      </c>
      <c r="H72" s="33">
        <v>1440</v>
      </c>
      <c r="I72" s="33">
        <v>1440</v>
      </c>
      <c r="J72" s="33">
        <f>L72*0.5</f>
        <v>11211.538461538461</v>
      </c>
      <c r="K72" s="59">
        <v>1440</v>
      </c>
      <c r="L72" s="127">
        <f>15000/1.04+8000</f>
        <v>22423.076923076922</v>
      </c>
      <c r="M72" s="128">
        <v>35000</v>
      </c>
      <c r="N72" s="128">
        <v>35000</v>
      </c>
      <c r="O72" s="307">
        <f>32524.59+16390</f>
        <v>48914.59</v>
      </c>
      <c r="P72" s="352">
        <v>16262.29</v>
      </c>
      <c r="Q72" s="128">
        <f>R72/2</f>
        <v>29867.129999999997</v>
      </c>
      <c r="R72" s="128">
        <f>O72+10819.67</f>
        <v>59734.259999999995</v>
      </c>
      <c r="S72" s="487" t="s">
        <v>1041</v>
      </c>
      <c r="T72" s="146"/>
      <c r="U72" s="146"/>
      <c r="V72" s="146"/>
      <c r="W72" s="146"/>
      <c r="X72" s="146"/>
    </row>
    <row r="73" spans="1:28" x14ac:dyDescent="0.25">
      <c r="A73" s="23" t="s">
        <v>231</v>
      </c>
      <c r="B73" s="24"/>
      <c r="C73" s="24"/>
      <c r="D73" s="23" t="s">
        <v>232</v>
      </c>
      <c r="E73" s="61">
        <f t="shared" ref="E73:P73" si="41">SUM(E74:E87)</f>
        <v>79115.404371584707</v>
      </c>
      <c r="F73" s="61">
        <f t="shared" si="41"/>
        <v>154926.79</v>
      </c>
      <c r="G73" s="61">
        <f t="shared" si="41"/>
        <v>5000</v>
      </c>
      <c r="H73" s="61">
        <f t="shared" si="41"/>
        <v>5000</v>
      </c>
      <c r="I73" s="241">
        <f t="shared" si="41"/>
        <v>7459</v>
      </c>
      <c r="J73" s="61">
        <f t="shared" si="41"/>
        <v>62755.16</v>
      </c>
      <c r="K73" s="61">
        <f t="shared" si="41"/>
        <v>7454.43</v>
      </c>
      <c r="L73" s="141">
        <f t="shared" si="41"/>
        <v>125510.32</v>
      </c>
      <c r="M73" s="142">
        <f t="shared" si="41"/>
        <v>38067.5</v>
      </c>
      <c r="N73" s="142">
        <f>SUM(N74:N87)</f>
        <v>39567.5</v>
      </c>
      <c r="O73" s="142">
        <f t="shared" si="41"/>
        <v>80013.76999999999</v>
      </c>
      <c r="P73" s="142">
        <f t="shared" si="41"/>
        <v>5000</v>
      </c>
      <c r="Q73" s="142">
        <f>SUM(Q74:Q87)</f>
        <v>17833.75</v>
      </c>
      <c r="R73" s="142">
        <f>SUM(R74:R89)</f>
        <v>37667.5</v>
      </c>
      <c r="S73" s="273"/>
    </row>
    <row r="74" spans="1:28" x14ac:dyDescent="0.25">
      <c r="A74" s="37" t="s">
        <v>233</v>
      </c>
      <c r="B74" s="62" t="s">
        <v>234</v>
      </c>
      <c r="C74" s="6" t="s">
        <v>235</v>
      </c>
      <c r="D74" s="32" t="s">
        <v>236</v>
      </c>
      <c r="E74" s="33">
        <v>4200</v>
      </c>
      <c r="F74" s="33">
        <v>4200</v>
      </c>
      <c r="G74" s="33">
        <v>0</v>
      </c>
      <c r="H74" s="33">
        <v>0</v>
      </c>
      <c r="I74" s="33"/>
      <c r="J74" s="33">
        <f t="shared" ref="J74:J87" si="42">L74*0.5</f>
        <v>2100</v>
      </c>
      <c r="K74" s="59">
        <v>0</v>
      </c>
      <c r="L74" s="127">
        <v>4200</v>
      </c>
      <c r="M74" s="128">
        <v>4200</v>
      </c>
      <c r="N74" s="128">
        <v>4200</v>
      </c>
      <c r="O74" s="128">
        <v>4200</v>
      </c>
      <c r="P74" s="352">
        <v>0</v>
      </c>
      <c r="Q74" s="128">
        <f t="shared" ref="Q74:Q86" si="43">R74/2</f>
        <v>2100</v>
      </c>
      <c r="R74" s="128">
        <v>4200</v>
      </c>
      <c r="S74" s="269"/>
    </row>
    <row r="75" spans="1:28" x14ac:dyDescent="0.25">
      <c r="A75" s="32" t="s">
        <v>237</v>
      </c>
      <c r="B75" s="62" t="s">
        <v>234</v>
      </c>
      <c r="C75" s="6" t="s">
        <v>238</v>
      </c>
      <c r="D75" s="32" t="s">
        <v>736</v>
      </c>
      <c r="E75" s="33">
        <v>9546</v>
      </c>
      <c r="F75" s="33">
        <v>9546</v>
      </c>
      <c r="G75" s="33">
        <v>0</v>
      </c>
      <c r="H75" s="33">
        <v>0</v>
      </c>
      <c r="I75" s="33"/>
      <c r="J75" s="33">
        <f t="shared" si="42"/>
        <v>4773</v>
      </c>
      <c r="K75" s="33">
        <v>0</v>
      </c>
      <c r="L75" s="127">
        <v>9546</v>
      </c>
      <c r="M75" s="128">
        <f>9546-1500</f>
        <v>8046</v>
      </c>
      <c r="N75" s="128">
        <v>9546</v>
      </c>
      <c r="O75" s="128">
        <f>N75</f>
        <v>9546</v>
      </c>
      <c r="P75" s="354">
        <v>0</v>
      </c>
      <c r="Q75" s="128">
        <f t="shared" si="43"/>
        <v>4773</v>
      </c>
      <c r="R75" s="128">
        <f>N75</f>
        <v>9546</v>
      </c>
      <c r="S75" s="269"/>
    </row>
    <row r="76" spans="1:28" x14ac:dyDescent="0.25">
      <c r="A76" s="32" t="s">
        <v>240</v>
      </c>
      <c r="B76" s="62" t="s">
        <v>234</v>
      </c>
      <c r="C76" s="6" t="s">
        <v>241</v>
      </c>
      <c r="D76" s="32" t="s">
        <v>1050</v>
      </c>
      <c r="E76" s="33">
        <v>5820</v>
      </c>
      <c r="F76" s="33">
        <v>5820</v>
      </c>
      <c r="G76" s="33">
        <v>0</v>
      </c>
      <c r="H76" s="33">
        <v>0</v>
      </c>
      <c r="I76" s="33"/>
      <c r="J76" s="33">
        <f t="shared" si="42"/>
        <v>3222.5</v>
      </c>
      <c r="K76" s="59">
        <v>0</v>
      </c>
      <c r="L76" s="127">
        <f>5820+625</f>
        <v>6445</v>
      </c>
      <c r="M76" s="128">
        <v>2500</v>
      </c>
      <c r="N76" s="128">
        <v>2500</v>
      </c>
      <c r="O76" s="128">
        <f>N76</f>
        <v>2500</v>
      </c>
      <c r="P76" s="352">
        <v>0</v>
      </c>
      <c r="Q76" s="128">
        <f t="shared" si="43"/>
        <v>1250</v>
      </c>
      <c r="R76" s="128">
        <f>N76</f>
        <v>2500</v>
      </c>
      <c r="S76" s="269"/>
    </row>
    <row r="77" spans="1:28" ht="15" hidden="1" customHeight="1" x14ac:dyDescent="0.25">
      <c r="A77" s="32" t="s">
        <v>243</v>
      </c>
      <c r="B77" s="309" t="s">
        <v>234</v>
      </c>
      <c r="C77" s="310" t="s">
        <v>244</v>
      </c>
      <c r="D77" s="311" t="s">
        <v>737</v>
      </c>
      <c r="E77" s="33">
        <v>1960</v>
      </c>
      <c r="F77" s="33">
        <v>0</v>
      </c>
      <c r="G77" s="33">
        <v>0</v>
      </c>
      <c r="H77" s="33">
        <v>0</v>
      </c>
      <c r="I77" s="33"/>
      <c r="J77" s="33">
        <f t="shared" si="42"/>
        <v>980</v>
      </c>
      <c r="K77" s="33">
        <v>0</v>
      </c>
      <c r="L77" s="127">
        <f>1360+600</f>
        <v>1960</v>
      </c>
      <c r="M77" s="128">
        <v>0</v>
      </c>
      <c r="N77" s="312">
        <v>0</v>
      </c>
      <c r="O77" s="128"/>
      <c r="P77" s="354">
        <v>0</v>
      </c>
      <c r="Q77" s="128">
        <f t="shared" si="43"/>
        <v>0</v>
      </c>
      <c r="R77" s="128"/>
      <c r="S77" s="269"/>
    </row>
    <row r="78" spans="1:28" x14ac:dyDescent="0.25">
      <c r="A78" s="37" t="s">
        <v>246</v>
      </c>
      <c r="B78" s="62" t="s">
        <v>234</v>
      </c>
      <c r="C78" s="6" t="s">
        <v>247</v>
      </c>
      <c r="D78" s="32" t="s">
        <v>738</v>
      </c>
      <c r="E78" s="59">
        <v>845</v>
      </c>
      <c r="F78" s="59">
        <v>845</v>
      </c>
      <c r="G78" s="59">
        <v>0</v>
      </c>
      <c r="H78" s="59">
        <v>0</v>
      </c>
      <c r="I78" s="240"/>
      <c r="J78" s="59">
        <f t="shared" si="42"/>
        <v>422.5</v>
      </c>
      <c r="K78" s="59">
        <v>0</v>
      </c>
      <c r="L78" s="127">
        <f>845</f>
        <v>845</v>
      </c>
      <c r="M78" s="128">
        <v>600</v>
      </c>
      <c r="N78" s="128">
        <v>600</v>
      </c>
      <c r="O78" s="128">
        <v>600</v>
      </c>
      <c r="P78" s="352">
        <v>0</v>
      </c>
      <c r="Q78" s="128">
        <f t="shared" si="43"/>
        <v>300</v>
      </c>
      <c r="R78" s="128">
        <f>N78</f>
        <v>600</v>
      </c>
      <c r="S78" s="269"/>
    </row>
    <row r="79" spans="1:28" ht="15" hidden="1" customHeight="1" x14ac:dyDescent="0.25">
      <c r="A79" s="37" t="s">
        <v>249</v>
      </c>
      <c r="B79" s="309" t="s">
        <v>234</v>
      </c>
      <c r="C79" s="310" t="s">
        <v>250</v>
      </c>
      <c r="D79" s="311" t="s">
        <v>739</v>
      </c>
      <c r="E79" s="59">
        <v>3000</v>
      </c>
      <c r="F79" s="59">
        <v>3000</v>
      </c>
      <c r="G79" s="59">
        <v>0</v>
      </c>
      <c r="H79" s="59">
        <v>0</v>
      </c>
      <c r="I79" s="240"/>
      <c r="J79" s="33">
        <f t="shared" si="42"/>
        <v>1500</v>
      </c>
      <c r="K79" s="33">
        <v>0</v>
      </c>
      <c r="L79" s="127">
        <v>3000</v>
      </c>
      <c r="M79" s="128">
        <v>0</v>
      </c>
      <c r="N79" s="312">
        <v>0</v>
      </c>
      <c r="O79" s="128"/>
      <c r="P79" s="354">
        <v>0</v>
      </c>
      <c r="Q79" s="128">
        <f t="shared" si="43"/>
        <v>0</v>
      </c>
      <c r="R79" s="128"/>
      <c r="S79" s="269"/>
    </row>
    <row r="80" spans="1:28" ht="15" customHeight="1" x14ac:dyDescent="0.25">
      <c r="A80" s="32" t="s">
        <v>252</v>
      </c>
      <c r="B80" s="309" t="s">
        <v>234</v>
      </c>
      <c r="C80" s="6" t="s">
        <v>253</v>
      </c>
      <c r="D80" s="32" t="s">
        <v>254</v>
      </c>
      <c r="E80" s="33">
        <v>5000</v>
      </c>
      <c r="F80" s="33">
        <v>5000</v>
      </c>
      <c r="G80" s="33">
        <v>5000</v>
      </c>
      <c r="H80" s="33">
        <v>5000</v>
      </c>
      <c r="I80" s="33">
        <v>5000</v>
      </c>
      <c r="J80" s="33">
        <f t="shared" si="42"/>
        <v>2500</v>
      </c>
      <c r="K80" s="59">
        <v>4995.43</v>
      </c>
      <c r="L80" s="127">
        <v>5000</v>
      </c>
      <c r="M80" s="128">
        <v>0</v>
      </c>
      <c r="N80" s="128">
        <v>0</v>
      </c>
      <c r="O80" s="128"/>
      <c r="P80" s="352">
        <v>5000</v>
      </c>
      <c r="Q80" s="128">
        <f t="shared" si="43"/>
        <v>2500</v>
      </c>
      <c r="R80" s="128">
        <f>P80</f>
        <v>5000</v>
      </c>
      <c r="S80" s="269"/>
    </row>
    <row r="81" spans="1:20" x14ac:dyDescent="0.25">
      <c r="A81" s="32"/>
      <c r="B81" s="6" t="s">
        <v>234</v>
      </c>
      <c r="C81" s="6" t="s">
        <v>255</v>
      </c>
      <c r="D81" s="32" t="s">
        <v>256</v>
      </c>
      <c r="E81" s="33">
        <v>4122</v>
      </c>
      <c r="F81" s="33">
        <v>4214.55</v>
      </c>
      <c r="G81" s="33">
        <v>0</v>
      </c>
      <c r="H81" s="33">
        <v>0</v>
      </c>
      <c r="I81" s="33"/>
      <c r="J81" s="33">
        <f t="shared" si="42"/>
        <v>2061</v>
      </c>
      <c r="K81" s="33">
        <v>0</v>
      </c>
      <c r="L81" s="127">
        <v>4122</v>
      </c>
      <c r="M81" s="128">
        <v>4122</v>
      </c>
      <c r="N81" s="128">
        <v>4122</v>
      </c>
      <c r="O81" s="128">
        <f>N81</f>
        <v>4122</v>
      </c>
      <c r="P81" s="354">
        <v>0</v>
      </c>
      <c r="Q81" s="128">
        <f t="shared" si="43"/>
        <v>2061</v>
      </c>
      <c r="R81" s="128">
        <f>N81</f>
        <v>4122</v>
      </c>
      <c r="S81" s="269"/>
    </row>
    <row r="82" spans="1:20" x14ac:dyDescent="0.25">
      <c r="A82" s="32"/>
      <c r="B82" s="6" t="s">
        <v>234</v>
      </c>
      <c r="C82" s="6" t="s">
        <v>257</v>
      </c>
      <c r="D82" s="32" t="s">
        <v>258</v>
      </c>
      <c r="E82" s="33">
        <v>4900</v>
      </c>
      <c r="F82" s="33">
        <v>4895.5200000000004</v>
      </c>
      <c r="G82" s="33">
        <v>0</v>
      </c>
      <c r="H82" s="33">
        <v>0</v>
      </c>
      <c r="I82" s="33"/>
      <c r="J82" s="33">
        <f t="shared" si="42"/>
        <v>2525</v>
      </c>
      <c r="K82" s="59">
        <v>0</v>
      </c>
      <c r="L82" s="127">
        <f>4900+150</f>
        <v>5050</v>
      </c>
      <c r="M82" s="128">
        <v>4900</v>
      </c>
      <c r="N82" s="128">
        <v>4900</v>
      </c>
      <c r="O82" s="128">
        <f>4900+450+400</f>
        <v>5750</v>
      </c>
      <c r="P82" s="352">
        <v>0</v>
      </c>
      <c r="Q82" s="128">
        <f t="shared" si="43"/>
        <v>2875</v>
      </c>
      <c r="R82" s="128">
        <f>4900+450+400</f>
        <v>5750</v>
      </c>
      <c r="S82" s="269"/>
    </row>
    <row r="83" spans="1:20" hidden="1" x14ac:dyDescent="0.25">
      <c r="A83" s="32"/>
      <c r="B83" s="310" t="s">
        <v>234</v>
      </c>
      <c r="C83" s="310" t="s">
        <v>259</v>
      </c>
      <c r="D83" s="311" t="s">
        <v>260</v>
      </c>
      <c r="E83" s="33">
        <v>2400</v>
      </c>
      <c r="F83" s="33">
        <v>0</v>
      </c>
      <c r="G83" s="33">
        <v>0</v>
      </c>
      <c r="H83" s="33">
        <v>0</v>
      </c>
      <c r="I83" s="33"/>
      <c r="J83" s="33">
        <f t="shared" si="42"/>
        <v>1200</v>
      </c>
      <c r="K83" s="33">
        <v>0</v>
      </c>
      <c r="L83" s="127">
        <v>2400</v>
      </c>
      <c r="M83" s="128">
        <v>0</v>
      </c>
      <c r="N83" s="128">
        <v>0</v>
      </c>
      <c r="O83" s="128"/>
      <c r="P83" s="128"/>
      <c r="Q83" s="128">
        <f t="shared" si="43"/>
        <v>0</v>
      </c>
      <c r="R83" s="128"/>
      <c r="S83" s="269"/>
    </row>
    <row r="84" spans="1:20" x14ac:dyDescent="0.25">
      <c r="A84" s="32"/>
      <c r="B84" s="6" t="s">
        <v>234</v>
      </c>
      <c r="C84" s="6" t="s">
        <v>261</v>
      </c>
      <c r="D84" s="32" t="s">
        <v>262</v>
      </c>
      <c r="E84" s="33">
        <v>27322.4043715847</v>
      </c>
      <c r="F84" s="33">
        <v>63651.31</v>
      </c>
      <c r="G84" s="33">
        <v>0</v>
      </c>
      <c r="H84" s="33">
        <v>0</v>
      </c>
      <c r="I84" s="33"/>
      <c r="J84" s="33">
        <f t="shared" si="42"/>
        <v>21116.66</v>
      </c>
      <c r="K84" s="59">
        <v>0</v>
      </c>
      <c r="L84" s="127">
        <f>11848.5+1579.8+25513.77+3291.25</f>
        <v>42233.32</v>
      </c>
      <c r="M84" s="128">
        <v>3949.5</v>
      </c>
      <c r="N84" s="128">
        <v>3949.5</v>
      </c>
      <c r="O84" s="128">
        <v>36045.769999999997</v>
      </c>
      <c r="P84" s="352">
        <v>0</v>
      </c>
      <c r="Q84" s="128">
        <f t="shared" si="43"/>
        <v>1974.75</v>
      </c>
      <c r="R84" s="307">
        <f>N84</f>
        <v>3949.5</v>
      </c>
      <c r="S84" s="308" t="s">
        <v>1058</v>
      </c>
    </row>
    <row r="85" spans="1:20" x14ac:dyDescent="0.25">
      <c r="A85" s="32"/>
      <c r="B85" s="6" t="s">
        <v>234</v>
      </c>
      <c r="C85" s="6" t="s">
        <v>263</v>
      </c>
      <c r="D85" s="32" t="s">
        <v>264</v>
      </c>
      <c r="E85" s="33">
        <v>10000</v>
      </c>
      <c r="F85" s="33">
        <v>16338.79</v>
      </c>
      <c r="G85" s="33">
        <v>0</v>
      </c>
      <c r="H85" s="33">
        <v>0</v>
      </c>
      <c r="I85" s="33">
        <v>2459</v>
      </c>
      <c r="J85" s="33">
        <f t="shared" si="42"/>
        <v>9354.5</v>
      </c>
      <c r="K85" s="33">
        <v>2459</v>
      </c>
      <c r="L85" s="127">
        <f>10000+6250+2459</f>
        <v>18709</v>
      </c>
      <c r="M85" s="128">
        <v>9750</v>
      </c>
      <c r="N85" s="128">
        <v>9750</v>
      </c>
      <c r="O85" s="128">
        <f>9750+3000+4500</f>
        <v>17250</v>
      </c>
      <c r="P85" s="352">
        <v>0</v>
      </c>
      <c r="Q85" s="128">
        <f t="shared" si="43"/>
        <v>0</v>
      </c>
      <c r="R85" s="307">
        <v>0</v>
      </c>
      <c r="S85" s="308" t="s">
        <v>921</v>
      </c>
    </row>
    <row r="86" spans="1:20" x14ac:dyDescent="0.25">
      <c r="A86" s="32"/>
      <c r="B86" s="6" t="s">
        <v>234</v>
      </c>
      <c r="C86" s="6" t="s">
        <v>265</v>
      </c>
      <c r="D86" s="32" t="s">
        <v>266</v>
      </c>
      <c r="E86" s="33">
        <v>0</v>
      </c>
      <c r="F86" s="33">
        <v>29415.62</v>
      </c>
      <c r="G86" s="33">
        <v>0</v>
      </c>
      <c r="H86" s="33">
        <v>0</v>
      </c>
      <c r="I86" s="33"/>
      <c r="J86" s="33">
        <f t="shared" si="42"/>
        <v>9000</v>
      </c>
      <c r="K86" s="59">
        <v>0</v>
      </c>
      <c r="L86" s="127">
        <f>18000</f>
        <v>18000</v>
      </c>
      <c r="M86" s="128">
        <v>0</v>
      </c>
      <c r="N86" s="128">
        <v>0</v>
      </c>
      <c r="O86" s="128">
        <v>0</v>
      </c>
      <c r="P86" s="352">
        <v>0</v>
      </c>
      <c r="Q86" s="128">
        <f t="shared" si="43"/>
        <v>0</v>
      </c>
      <c r="R86" s="128">
        <v>0</v>
      </c>
      <c r="S86"/>
    </row>
    <row r="87" spans="1:20" ht="14.25" hidden="1" customHeight="1" x14ac:dyDescent="0.25">
      <c r="A87" s="32"/>
      <c r="B87" s="310" t="s">
        <v>234</v>
      </c>
      <c r="C87" s="310" t="s">
        <v>267</v>
      </c>
      <c r="D87" s="311" t="s">
        <v>268</v>
      </c>
      <c r="E87" s="33">
        <v>0</v>
      </c>
      <c r="F87" s="33">
        <v>8000</v>
      </c>
      <c r="G87" s="33">
        <v>0</v>
      </c>
      <c r="H87" s="33">
        <v>0</v>
      </c>
      <c r="I87" s="33"/>
      <c r="J87" s="33">
        <f t="shared" si="42"/>
        <v>2000</v>
      </c>
      <c r="K87" s="33">
        <v>0</v>
      </c>
      <c r="L87" s="127">
        <v>4000</v>
      </c>
      <c r="M87" s="128">
        <v>0</v>
      </c>
      <c r="N87" s="312">
        <v>0</v>
      </c>
      <c r="O87" s="312"/>
      <c r="P87" s="312"/>
      <c r="Q87" s="312">
        <v>0</v>
      </c>
      <c r="R87" s="312">
        <v>0</v>
      </c>
      <c r="S87" s="269"/>
    </row>
    <row r="88" spans="1:20" x14ac:dyDescent="0.25">
      <c r="A88" s="32"/>
      <c r="B88" s="310"/>
      <c r="C88" s="6" t="s">
        <v>1037</v>
      </c>
      <c r="D88" s="359" t="s">
        <v>1038</v>
      </c>
      <c r="E88" s="33"/>
      <c r="F88" s="33"/>
      <c r="G88" s="33"/>
      <c r="H88" s="33"/>
      <c r="I88" s="33"/>
      <c r="J88" s="33"/>
      <c r="K88" s="33"/>
      <c r="L88" s="127"/>
      <c r="M88" s="146"/>
      <c r="N88" s="128">
        <v>0</v>
      </c>
      <c r="O88" s="128"/>
      <c r="P88" s="128">
        <v>0</v>
      </c>
      <c r="Q88" s="128">
        <v>0</v>
      </c>
      <c r="R88" s="128">
        <v>0</v>
      </c>
      <c r="S88" s="269"/>
    </row>
    <row r="89" spans="1:20" x14ac:dyDescent="0.25">
      <c r="A89" s="32"/>
      <c r="B89" s="310"/>
      <c r="C89" s="6" t="s">
        <v>1051</v>
      </c>
      <c r="D89" s="359" t="s">
        <v>1053</v>
      </c>
      <c r="E89" s="33"/>
      <c r="F89" s="33"/>
      <c r="G89" s="33"/>
      <c r="H89" s="33"/>
      <c r="I89" s="33"/>
      <c r="J89" s="33"/>
      <c r="K89" s="33"/>
      <c r="L89" s="127"/>
      <c r="M89" s="146"/>
      <c r="N89" s="128">
        <v>0</v>
      </c>
      <c r="O89" s="128"/>
      <c r="P89" s="128"/>
      <c r="Q89" s="128">
        <f>R89/2</f>
        <v>1000</v>
      </c>
      <c r="R89" s="307">
        <v>2000</v>
      </c>
      <c r="S89" s="308" t="s">
        <v>1052</v>
      </c>
      <c r="T89" s="308" t="s">
        <v>1049</v>
      </c>
    </row>
    <row r="90" spans="1:20" x14ac:dyDescent="0.25">
      <c r="A90" s="23" t="s">
        <v>740</v>
      </c>
      <c r="B90" s="24"/>
      <c r="C90" s="24"/>
      <c r="D90" s="23" t="s">
        <v>741</v>
      </c>
      <c r="E90" s="61">
        <f>SUM(E91:E92)</f>
        <v>0</v>
      </c>
      <c r="F90" s="61">
        <f>SUM(F91:F108)</f>
        <v>22146</v>
      </c>
      <c r="G90" s="61">
        <f>SUM(G91:G108)</f>
        <v>361333.14</v>
      </c>
      <c r="H90" s="61">
        <f>SUM(H91:H108)</f>
        <v>55378.919999999991</v>
      </c>
      <c r="I90" s="241"/>
      <c r="J90" s="61">
        <f>SUM(J91:J108)</f>
        <v>764835.92499999981</v>
      </c>
      <c r="K90" s="61">
        <f t="shared" ref="K90:R90" si="44">SUM(K91:K92)</f>
        <v>0</v>
      </c>
      <c r="L90" s="141">
        <f t="shared" si="44"/>
        <v>0</v>
      </c>
      <c r="M90" s="142">
        <f t="shared" si="44"/>
        <v>170000</v>
      </c>
      <c r="N90" s="142">
        <f t="shared" si="44"/>
        <v>200000</v>
      </c>
      <c r="O90" s="142">
        <f t="shared" si="44"/>
        <v>149530.44262295082</v>
      </c>
      <c r="P90" s="142">
        <f t="shared" si="44"/>
        <v>0</v>
      </c>
      <c r="Q90" s="142">
        <f t="shared" si="44"/>
        <v>70765.221311475412</v>
      </c>
      <c r="R90" s="142">
        <f t="shared" si="44"/>
        <v>141530.44262295082</v>
      </c>
      <c r="S90" s="273">
        <f>N90-R90</f>
        <v>58469.557377049176</v>
      </c>
    </row>
    <row r="91" spans="1:20" x14ac:dyDescent="0.25">
      <c r="A91" s="37"/>
      <c r="B91" s="6" t="s">
        <v>891</v>
      </c>
      <c r="C91" s="6" t="s">
        <v>714</v>
      </c>
      <c r="D91" s="32" t="s">
        <v>918</v>
      </c>
      <c r="E91" s="33">
        <v>0</v>
      </c>
      <c r="F91" s="33">
        <v>4200</v>
      </c>
      <c r="G91" s="33">
        <v>0</v>
      </c>
      <c r="H91" s="33">
        <v>0</v>
      </c>
      <c r="I91" s="33"/>
      <c r="J91" s="33">
        <f>L91*0.5</f>
        <v>0</v>
      </c>
      <c r="K91" s="59">
        <v>0</v>
      </c>
      <c r="L91" s="127">
        <v>0</v>
      </c>
      <c r="M91" s="128">
        <v>170000</v>
      </c>
      <c r="N91" s="128">
        <v>170000</v>
      </c>
      <c r="O91" s="128">
        <f>162427.14/1.22</f>
        <v>133137</v>
      </c>
      <c r="P91" s="128">
        <v>0</v>
      </c>
      <c r="Q91" s="128">
        <f>R91/2</f>
        <v>66568.5</v>
      </c>
      <c r="R91" s="128">
        <f>O91</f>
        <v>133137</v>
      </c>
      <c r="S91" s="269"/>
    </row>
    <row r="92" spans="1:20" x14ac:dyDescent="0.25">
      <c r="A92" s="32"/>
      <c r="B92" s="6" t="s">
        <v>891</v>
      </c>
      <c r="C92" s="6" t="s">
        <v>920</v>
      </c>
      <c r="D92" s="32" t="s">
        <v>919</v>
      </c>
      <c r="E92" s="33">
        <v>0</v>
      </c>
      <c r="F92" s="33">
        <v>9546</v>
      </c>
      <c r="G92" s="33">
        <v>0</v>
      </c>
      <c r="H92" s="33">
        <v>0</v>
      </c>
      <c r="I92" s="33"/>
      <c r="J92" s="33">
        <f>L92*0.5</f>
        <v>0</v>
      </c>
      <c r="K92" s="33">
        <v>0</v>
      </c>
      <c r="L92" s="127">
        <v>0</v>
      </c>
      <c r="M92" s="128"/>
      <c r="N92" s="128">
        <v>30000</v>
      </c>
      <c r="O92" s="128">
        <f>20000/1.22</f>
        <v>16393.442622950821</v>
      </c>
      <c r="P92" s="128">
        <v>0</v>
      </c>
      <c r="Q92" s="128">
        <f>R92/2</f>
        <v>4196.7213114754104</v>
      </c>
      <c r="R92" s="307">
        <f>O92-8000</f>
        <v>8393.4426229508208</v>
      </c>
      <c r="S92" s="308" t="s">
        <v>1057</v>
      </c>
    </row>
    <row r="93" spans="1:20" x14ac:dyDescent="0.25">
      <c r="A93" s="23" t="s">
        <v>742</v>
      </c>
      <c r="B93" s="24"/>
      <c r="C93" s="24"/>
      <c r="D93" s="23" t="s">
        <v>743</v>
      </c>
      <c r="E93" s="61">
        <f>SUM(E94:E97)</f>
        <v>0</v>
      </c>
      <c r="F93" s="61">
        <f>SUM(F94:F117)</f>
        <v>4200</v>
      </c>
      <c r="G93" s="61">
        <f>SUM(G94:G117)</f>
        <v>185637.49</v>
      </c>
      <c r="H93" s="61">
        <f>SUM(H94:H117)</f>
        <v>29399.669999999995</v>
      </c>
      <c r="I93" s="61"/>
      <c r="J93" s="61">
        <f>SUM(J94:J117)</f>
        <v>394171.34499999986</v>
      </c>
      <c r="K93" s="61">
        <f>SUM(K94:K97)</f>
        <v>0</v>
      </c>
      <c r="L93" s="61">
        <f>SUM(L94:L97)</f>
        <v>0</v>
      </c>
      <c r="M93" s="61">
        <f>SUM(M94:M97)</f>
        <v>302542.46666666667</v>
      </c>
      <c r="N93" s="61">
        <f>SUM(N94:N97)</f>
        <v>315965.71166666667</v>
      </c>
      <c r="O93" s="61">
        <f t="shared" ref="O93:Q93" si="45">SUM(O94:O97)</f>
        <v>247798.83000000002</v>
      </c>
      <c r="P93" s="61">
        <f t="shared" si="45"/>
        <v>152443.86000000002</v>
      </c>
      <c r="Q93" s="61">
        <f t="shared" si="45"/>
        <v>97352.84</v>
      </c>
      <c r="R93" s="61">
        <f>SUM(R94:R97)</f>
        <v>292058.51999999996</v>
      </c>
      <c r="S93" s="273">
        <f>N93-R93</f>
        <v>23907.191666666709</v>
      </c>
    </row>
    <row r="94" spans="1:20" x14ac:dyDescent="0.25">
      <c r="A94" s="37"/>
      <c r="B94" s="62" t="s">
        <v>878</v>
      </c>
      <c r="C94" s="6" t="s">
        <v>888</v>
      </c>
      <c r="D94" s="32" t="s">
        <v>744</v>
      </c>
      <c r="E94" s="33">
        <v>0</v>
      </c>
      <c r="F94" s="33">
        <v>4200</v>
      </c>
      <c r="G94" s="33">
        <v>0</v>
      </c>
      <c r="H94" s="33">
        <v>0</v>
      </c>
      <c r="I94" s="33"/>
      <c r="J94" s="33">
        <f>L94*0.5</f>
        <v>0</v>
      </c>
      <c r="K94" s="59">
        <v>0</v>
      </c>
      <c r="L94" s="127">
        <v>0</v>
      </c>
      <c r="M94" s="128">
        <f>270000/12*10</f>
        <v>225000</v>
      </c>
      <c r="N94" s="128">
        <f>270000/12*10</f>
        <v>225000</v>
      </c>
      <c r="O94" s="128">
        <f>22500*10</f>
        <v>225000</v>
      </c>
      <c r="P94" s="354">
        <v>114606.63</v>
      </c>
      <c r="Q94" s="128">
        <f>R94/12*4</f>
        <v>75000</v>
      </c>
      <c r="R94" s="128">
        <f>O94</f>
        <v>225000</v>
      </c>
      <c r="S94" s="269"/>
    </row>
    <row r="95" spans="1:20" x14ac:dyDescent="0.25">
      <c r="A95" s="37"/>
      <c r="B95" s="62" t="s">
        <v>878</v>
      </c>
      <c r="C95" s="6" t="s">
        <v>889</v>
      </c>
      <c r="D95" s="32" t="s">
        <v>745</v>
      </c>
      <c r="E95" s="33"/>
      <c r="F95" s="33"/>
      <c r="G95" s="33"/>
      <c r="H95" s="33"/>
      <c r="I95" s="33"/>
      <c r="J95" s="33"/>
      <c r="K95" s="59"/>
      <c r="L95" s="127"/>
      <c r="M95" s="128">
        <f>35000/12*10</f>
        <v>29166.666666666664</v>
      </c>
      <c r="N95" s="473">
        <f>35000/12*10</f>
        <v>29166.666666666664</v>
      </c>
      <c r="O95" s="473">
        <f>5566.02+4174.52+7461.88+5596.41</f>
        <v>22798.83</v>
      </c>
      <c r="P95" s="474">
        <v>22997.53</v>
      </c>
      <c r="Q95" s="473">
        <f>R95/12*4</f>
        <v>10922.82</v>
      </c>
      <c r="R95" s="473">
        <f>P95+4174.52+5596.41</f>
        <v>32768.46</v>
      </c>
      <c r="S95" s="269" t="s">
        <v>1068</v>
      </c>
    </row>
    <row r="96" spans="1:20" x14ac:dyDescent="0.25">
      <c r="A96" s="32"/>
      <c r="B96" s="62" t="s">
        <v>878</v>
      </c>
      <c r="C96" s="6" t="s">
        <v>890</v>
      </c>
      <c r="D96" s="32" t="s">
        <v>903</v>
      </c>
      <c r="E96" s="33"/>
      <c r="F96" s="33"/>
      <c r="G96" s="33"/>
      <c r="H96" s="33"/>
      <c r="I96" s="33"/>
      <c r="J96" s="33"/>
      <c r="K96" s="33"/>
      <c r="L96" s="127"/>
      <c r="M96" s="147">
        <f>-M222*1.1</f>
        <v>48375.8</v>
      </c>
      <c r="N96" s="128">
        <v>61799.044999999998</v>
      </c>
      <c r="P96" s="354">
        <v>5537.88</v>
      </c>
      <c r="Q96" s="128">
        <f>R96/12*4</f>
        <v>5096.34</v>
      </c>
      <c r="R96" s="307">
        <f>(2028.01+107.98+1515.62+543.09+3449.81)*2</f>
        <v>15289.02</v>
      </c>
      <c r="S96" s="308" t="s">
        <v>922</v>
      </c>
    </row>
    <row r="97" spans="1:28" x14ac:dyDescent="0.25">
      <c r="A97" s="32"/>
      <c r="B97" s="62" t="s">
        <v>878</v>
      </c>
      <c r="C97" s="6" t="s">
        <v>901</v>
      </c>
      <c r="D97" s="32" t="s">
        <v>904</v>
      </c>
      <c r="E97" s="33"/>
      <c r="F97" s="33"/>
      <c r="G97" s="33"/>
      <c r="H97" s="33"/>
      <c r="I97" s="33"/>
      <c r="J97" s="33"/>
      <c r="K97" s="59"/>
      <c r="L97" s="127"/>
      <c r="M97" s="128"/>
      <c r="N97" s="128">
        <v>0</v>
      </c>
      <c r="O97" s="128"/>
      <c r="P97" s="352">
        <v>9301.82</v>
      </c>
      <c r="Q97" s="128">
        <f>R97/12*4</f>
        <v>6333.68</v>
      </c>
      <c r="R97" s="307">
        <f>(1532.55+225+3508.65+1170+440+813.15+1811.17)*2</f>
        <v>19001.04</v>
      </c>
      <c r="S97" s="308" t="s">
        <v>922</v>
      </c>
    </row>
    <row r="98" spans="1:28" x14ac:dyDescent="0.25">
      <c r="A98" s="20" t="s">
        <v>269</v>
      </c>
      <c r="B98" s="459"/>
      <c r="C98" s="21"/>
      <c r="D98" s="20" t="s">
        <v>670</v>
      </c>
      <c r="E98" s="71">
        <v>0</v>
      </c>
      <c r="F98" s="71">
        <v>0</v>
      </c>
      <c r="G98" s="71">
        <v>0</v>
      </c>
      <c r="H98" s="71">
        <v>0</v>
      </c>
      <c r="I98" s="242">
        <v>0</v>
      </c>
      <c r="J98" s="71">
        <v>0</v>
      </c>
      <c r="K98" s="71">
        <v>0</v>
      </c>
      <c r="L98" s="148">
        <v>0</v>
      </c>
      <c r="M98" s="113">
        <v>0</v>
      </c>
      <c r="N98" s="113">
        <v>0</v>
      </c>
      <c r="O98" s="113">
        <v>0</v>
      </c>
      <c r="P98" s="113">
        <v>0</v>
      </c>
      <c r="Q98" s="113">
        <v>0</v>
      </c>
      <c r="R98" s="113">
        <v>0</v>
      </c>
      <c r="S98" s="278" t="s">
        <v>1076</v>
      </c>
      <c r="T98" s="308" t="s">
        <v>1072</v>
      </c>
    </row>
    <row r="99" spans="1:28" x14ac:dyDescent="0.25">
      <c r="A99" s="20" t="s">
        <v>271</v>
      </c>
      <c r="B99" s="21"/>
      <c r="C99" s="21"/>
      <c r="D99" s="20" t="s">
        <v>272</v>
      </c>
      <c r="E99" s="71">
        <v>0</v>
      </c>
      <c r="F99" s="71">
        <v>0</v>
      </c>
      <c r="G99" s="71">
        <v>0</v>
      </c>
      <c r="H99" s="71">
        <v>0</v>
      </c>
      <c r="I99" s="242">
        <v>0</v>
      </c>
      <c r="J99" s="71">
        <v>0</v>
      </c>
      <c r="K99" s="71">
        <v>0</v>
      </c>
      <c r="L99" s="148">
        <v>0</v>
      </c>
      <c r="M99" s="113">
        <v>0</v>
      </c>
      <c r="N99" s="113">
        <v>0</v>
      </c>
      <c r="O99" s="113">
        <v>0</v>
      </c>
      <c r="P99" s="113">
        <v>0</v>
      </c>
      <c r="Q99" s="113">
        <v>0</v>
      </c>
      <c r="R99" s="113">
        <v>0</v>
      </c>
      <c r="S99" s="271"/>
      <c r="T99" t="s">
        <v>746</v>
      </c>
      <c r="Y99" t="s">
        <v>747</v>
      </c>
      <c r="Z99" t="s">
        <v>748</v>
      </c>
      <c r="AA99" t="s">
        <v>749</v>
      </c>
    </row>
    <row r="100" spans="1:28" x14ac:dyDescent="0.25">
      <c r="A100" s="20" t="s">
        <v>273</v>
      </c>
      <c r="B100" s="21"/>
      <c r="C100" s="21"/>
      <c r="D100" s="20" t="s">
        <v>274</v>
      </c>
      <c r="E100" s="71">
        <v>0</v>
      </c>
      <c r="F100" s="71">
        <v>0</v>
      </c>
      <c r="G100" s="71">
        <v>0</v>
      </c>
      <c r="H100" s="71">
        <v>0</v>
      </c>
      <c r="I100" s="242">
        <v>0</v>
      </c>
      <c r="J100" s="71">
        <v>0</v>
      </c>
      <c r="K100" s="71">
        <v>0</v>
      </c>
      <c r="L100" s="148">
        <v>0</v>
      </c>
      <c r="M100" s="113">
        <v>0</v>
      </c>
      <c r="N100" s="113">
        <v>0</v>
      </c>
      <c r="O100" s="113">
        <v>0</v>
      </c>
      <c r="P100" s="113">
        <v>0</v>
      </c>
      <c r="Q100" s="113">
        <v>0</v>
      </c>
      <c r="R100" s="113">
        <v>0</v>
      </c>
      <c r="S100" s="271"/>
    </row>
    <row r="101" spans="1:28" x14ac:dyDescent="0.25">
      <c r="A101" s="20" t="s">
        <v>275</v>
      </c>
      <c r="B101" s="21"/>
      <c r="C101" s="21"/>
      <c r="D101" s="20" t="s">
        <v>276</v>
      </c>
      <c r="E101" s="71">
        <f t="shared" ref="E101:R101" si="46">E102+E117</f>
        <v>241401.18999999994</v>
      </c>
      <c r="F101" s="71">
        <f t="shared" si="46"/>
        <v>0</v>
      </c>
      <c r="G101" s="71">
        <f t="shared" si="46"/>
        <v>64903.88</v>
      </c>
      <c r="H101" s="71">
        <f t="shared" si="46"/>
        <v>10650.8</v>
      </c>
      <c r="I101" s="242">
        <f t="shared" si="46"/>
        <v>184746.4</v>
      </c>
      <c r="J101" s="71">
        <f t="shared" si="46"/>
        <v>136735.37499999997</v>
      </c>
      <c r="K101" s="71">
        <f t="shared" si="46"/>
        <v>83876.76999999999</v>
      </c>
      <c r="L101" s="148">
        <f t="shared" si="46"/>
        <v>273470.74999999994</v>
      </c>
      <c r="M101" s="113">
        <f t="shared" si="46"/>
        <v>241401.18999999994</v>
      </c>
      <c r="N101" s="113">
        <f t="shared" si="46"/>
        <v>241401.18999999994</v>
      </c>
      <c r="O101" s="113">
        <f t="shared" si="46"/>
        <v>241401.18999999994</v>
      </c>
      <c r="P101" s="113">
        <f t="shared" si="46"/>
        <v>53114.770000000011</v>
      </c>
      <c r="Q101" s="113">
        <f t="shared" si="46"/>
        <v>121299.09499999997</v>
      </c>
      <c r="R101" s="113">
        <f t="shared" si="46"/>
        <v>242598.18999999994</v>
      </c>
      <c r="S101" s="271"/>
      <c r="T101" s="149" t="s">
        <v>848</v>
      </c>
      <c r="U101" s="149"/>
      <c r="V101" s="149"/>
      <c r="W101" s="149"/>
      <c r="X101" s="149"/>
      <c r="Y101" s="150">
        <v>4686.45</v>
      </c>
      <c r="Z101" s="150">
        <v>35910.79</v>
      </c>
      <c r="AA101" s="149">
        <v>138293.12100000001</v>
      </c>
      <c r="AB101" t="s">
        <v>750</v>
      </c>
    </row>
    <row r="102" spans="1:28" x14ac:dyDescent="0.25">
      <c r="A102" s="23" t="s">
        <v>277</v>
      </c>
      <c r="B102" s="24"/>
      <c r="C102" s="24"/>
      <c r="D102" s="23" t="s">
        <v>278</v>
      </c>
      <c r="E102" s="61">
        <f t="shared" ref="E102:M102" si="47">SUM(E103:E111)</f>
        <v>241401.18999999994</v>
      </c>
      <c r="F102" s="61">
        <f t="shared" si="47"/>
        <v>0</v>
      </c>
      <c r="G102" s="61">
        <f t="shared" si="47"/>
        <v>55829.729999999996</v>
      </c>
      <c r="H102" s="61">
        <f t="shared" si="47"/>
        <v>8098.0700000000006</v>
      </c>
      <c r="I102" s="241">
        <f>SUM(I103:I111)</f>
        <v>152853.41999999998</v>
      </c>
      <c r="J102" s="61">
        <f t="shared" si="47"/>
        <v>120700.59499999997</v>
      </c>
      <c r="K102" s="61">
        <f t="shared" si="47"/>
        <v>74802.62</v>
      </c>
      <c r="L102" s="141">
        <f>SUM(L103:L111)</f>
        <v>241401.18999999994</v>
      </c>
      <c r="M102" s="142">
        <f t="shared" si="47"/>
        <v>241401.18999999994</v>
      </c>
      <c r="N102" s="142">
        <f>SUM(N103:N116)</f>
        <v>241401.18999999994</v>
      </c>
      <c r="O102" s="142">
        <f>SUM(O103:O116)</f>
        <v>241401.18999999994</v>
      </c>
      <c r="P102" s="142">
        <f>SUM(P103:P116)</f>
        <v>53262.830000000009</v>
      </c>
      <c r="Q102" s="142">
        <f>SUM(Q103:Q111)</f>
        <v>120700.59499999997</v>
      </c>
      <c r="R102" s="142">
        <f>SUM(R103:R111)</f>
        <v>241401.18999999994</v>
      </c>
      <c r="S102" s="271"/>
      <c r="T102" s="754">
        <f>SUM(T101:AA101)</f>
        <v>178890.361</v>
      </c>
      <c r="U102" s="754"/>
      <c r="V102" s="754"/>
      <c r="W102" s="754"/>
      <c r="X102" s="754"/>
      <c r="Y102" s="754"/>
      <c r="Z102" s="754"/>
      <c r="AA102" s="754"/>
    </row>
    <row r="103" spans="1:28" x14ac:dyDescent="0.25">
      <c r="A103" s="32" t="s">
        <v>279</v>
      </c>
      <c r="B103" s="6" t="s">
        <v>280</v>
      </c>
      <c r="C103" s="6" t="s">
        <v>281</v>
      </c>
      <c r="D103" s="32" t="s">
        <v>282</v>
      </c>
      <c r="E103" s="33">
        <v>46204.94</v>
      </c>
      <c r="F103" s="33">
        <v>0</v>
      </c>
      <c r="G103" s="33">
        <v>13283.38</v>
      </c>
      <c r="H103" s="33">
        <v>1022.12</v>
      </c>
      <c r="I103" s="33">
        <f>7387.28+94263.18+4002.43+47200.53</f>
        <v>152853.41999999998</v>
      </c>
      <c r="J103" s="33">
        <f t="shared" ref="J103:J110" si="48">L103*0.5</f>
        <v>23102.47</v>
      </c>
      <c r="K103" s="33">
        <v>16896</v>
      </c>
      <c r="L103" s="127">
        <v>46204.94</v>
      </c>
      <c r="M103" s="128">
        <v>46204.94</v>
      </c>
      <c r="N103" s="128">
        <v>46204.94</v>
      </c>
      <c r="O103" s="128">
        <v>46204.94</v>
      </c>
      <c r="P103" s="352">
        <v>12816.37</v>
      </c>
      <c r="Q103" s="128">
        <f t="shared" ref="Q103:Q116" si="49">R103/2</f>
        <v>23102.47</v>
      </c>
      <c r="R103" s="128">
        <f t="shared" ref="R103:R111" si="50">N103</f>
        <v>46204.94</v>
      </c>
      <c r="S103" s="271"/>
    </row>
    <row r="104" spans="1:28" x14ac:dyDescent="0.25">
      <c r="A104" s="37" t="s">
        <v>283</v>
      </c>
      <c r="B104" s="6" t="s">
        <v>280</v>
      </c>
      <c r="C104" s="6" t="s">
        <v>284</v>
      </c>
      <c r="D104" s="37" t="s">
        <v>285</v>
      </c>
      <c r="E104" s="33">
        <v>50711.69</v>
      </c>
      <c r="F104" s="33">
        <v>0</v>
      </c>
      <c r="G104" s="33">
        <v>11636.8</v>
      </c>
      <c r="H104" s="33">
        <v>1016.84</v>
      </c>
      <c r="I104" s="33"/>
      <c r="J104" s="33">
        <f t="shared" si="48"/>
        <v>25355.845000000001</v>
      </c>
      <c r="K104" s="59">
        <v>15902.89</v>
      </c>
      <c r="L104" s="127">
        <v>50711.69</v>
      </c>
      <c r="M104" s="128">
        <v>50711.69</v>
      </c>
      <c r="N104" s="128">
        <v>50711.69</v>
      </c>
      <c r="O104" s="128">
        <v>50711.69</v>
      </c>
      <c r="P104" s="354">
        <v>11704.32</v>
      </c>
      <c r="Q104" s="128">
        <f t="shared" si="49"/>
        <v>25355.845000000001</v>
      </c>
      <c r="R104" s="128">
        <f t="shared" si="50"/>
        <v>50711.69</v>
      </c>
      <c r="S104" s="271"/>
    </row>
    <row r="105" spans="1:28" x14ac:dyDescent="0.25">
      <c r="A105" s="32" t="s">
        <v>286</v>
      </c>
      <c r="B105" s="6" t="s">
        <v>280</v>
      </c>
      <c r="C105" s="6" t="s">
        <v>287</v>
      </c>
      <c r="D105" s="32" t="s">
        <v>288</v>
      </c>
      <c r="E105" s="33">
        <v>50006.74</v>
      </c>
      <c r="F105" s="33">
        <v>0</v>
      </c>
      <c r="G105" s="33">
        <v>14529.76</v>
      </c>
      <c r="H105" s="33">
        <v>1105.1099999999999</v>
      </c>
      <c r="I105" s="33"/>
      <c r="J105" s="33">
        <f t="shared" si="48"/>
        <v>25003.37</v>
      </c>
      <c r="K105" s="33">
        <v>18985.810000000001</v>
      </c>
      <c r="L105" s="127">
        <v>50006.74</v>
      </c>
      <c r="M105" s="128">
        <v>50006.74</v>
      </c>
      <c r="N105" s="128">
        <v>50006.74</v>
      </c>
      <c r="O105" s="128">
        <v>50006.74</v>
      </c>
      <c r="P105" s="352">
        <v>12974.27</v>
      </c>
      <c r="Q105" s="128">
        <f t="shared" si="49"/>
        <v>25003.37</v>
      </c>
      <c r="R105" s="128">
        <f t="shared" si="50"/>
        <v>50006.74</v>
      </c>
      <c r="S105" s="271"/>
    </row>
    <row r="106" spans="1:28" x14ac:dyDescent="0.25">
      <c r="A106" s="37" t="s">
        <v>289</v>
      </c>
      <c r="B106" s="6" t="s">
        <v>280</v>
      </c>
      <c r="C106" s="6" t="s">
        <v>290</v>
      </c>
      <c r="D106" s="37" t="s">
        <v>291</v>
      </c>
      <c r="E106" s="52">
        <v>46527.67</v>
      </c>
      <c r="F106" s="52">
        <v>0</v>
      </c>
      <c r="G106" s="52">
        <v>10177.280000000001</v>
      </c>
      <c r="H106" s="52">
        <v>3123.69</v>
      </c>
      <c r="I106" s="239"/>
      <c r="J106" s="33">
        <f t="shared" si="48"/>
        <v>23263.834999999999</v>
      </c>
      <c r="K106" s="59">
        <v>13001.26</v>
      </c>
      <c r="L106" s="131">
        <v>46527.67</v>
      </c>
      <c r="M106" s="132">
        <v>46527.67</v>
      </c>
      <c r="N106" s="132">
        <v>46527.67</v>
      </c>
      <c r="O106" s="132">
        <v>46527.67</v>
      </c>
      <c r="P106" s="354">
        <v>10003.77</v>
      </c>
      <c r="Q106" s="128">
        <f t="shared" si="49"/>
        <v>23263.834999999999</v>
      </c>
      <c r="R106" s="128">
        <f t="shared" si="50"/>
        <v>46527.67</v>
      </c>
      <c r="S106" s="271"/>
    </row>
    <row r="107" spans="1:28" x14ac:dyDescent="0.25">
      <c r="A107" s="32" t="s">
        <v>292</v>
      </c>
      <c r="B107" s="6" t="s">
        <v>280</v>
      </c>
      <c r="C107" s="6" t="s">
        <v>293</v>
      </c>
      <c r="D107" s="32" t="s">
        <v>294</v>
      </c>
      <c r="E107" s="33">
        <v>23358.09</v>
      </c>
      <c r="F107" s="33">
        <v>0</v>
      </c>
      <c r="G107" s="33">
        <v>4804.7299999999996</v>
      </c>
      <c r="H107" s="33">
        <v>432.53</v>
      </c>
      <c r="I107" s="33"/>
      <c r="J107" s="33">
        <f t="shared" si="48"/>
        <v>11679.045</v>
      </c>
      <c r="K107" s="33">
        <v>7221.1</v>
      </c>
      <c r="L107" s="127">
        <v>23358.09</v>
      </c>
      <c r="M107" s="128">
        <v>23358.09</v>
      </c>
      <c r="N107" s="128">
        <v>23358.09</v>
      </c>
      <c r="O107" s="128">
        <v>23358.09</v>
      </c>
      <c r="P107" s="352">
        <v>4366.32</v>
      </c>
      <c r="Q107" s="128">
        <f t="shared" si="49"/>
        <v>11679.045</v>
      </c>
      <c r="R107" s="128">
        <f t="shared" si="50"/>
        <v>23358.09</v>
      </c>
      <c r="S107" s="271"/>
    </row>
    <row r="108" spans="1:28" x14ac:dyDescent="0.25">
      <c r="A108" s="37" t="s">
        <v>295</v>
      </c>
      <c r="B108" s="6" t="s">
        <v>280</v>
      </c>
      <c r="C108" s="6" t="s">
        <v>296</v>
      </c>
      <c r="D108" s="37" t="s">
        <v>297</v>
      </c>
      <c r="E108" s="33">
        <v>9648.09</v>
      </c>
      <c r="F108" s="33">
        <v>0</v>
      </c>
      <c r="G108" s="33">
        <v>530.09</v>
      </c>
      <c r="H108" s="33">
        <v>530.09</v>
      </c>
      <c r="I108" s="33"/>
      <c r="J108" s="33">
        <f t="shared" si="48"/>
        <v>4824.0450000000001</v>
      </c>
      <c r="K108" s="59">
        <v>1060.18</v>
      </c>
      <c r="L108" s="127">
        <v>9648.09</v>
      </c>
      <c r="M108" s="128">
        <v>9648.09</v>
      </c>
      <c r="N108" s="128">
        <v>9648.09</v>
      </c>
      <c r="O108" s="128">
        <v>9648.09</v>
      </c>
      <c r="P108" s="354">
        <v>530.09</v>
      </c>
      <c r="Q108" s="128">
        <f t="shared" si="49"/>
        <v>4824.0450000000001</v>
      </c>
      <c r="R108" s="128">
        <f t="shared" si="50"/>
        <v>9648.09</v>
      </c>
      <c r="S108" s="271"/>
    </row>
    <row r="109" spans="1:28" x14ac:dyDescent="0.25">
      <c r="A109" s="32" t="s">
        <v>298</v>
      </c>
      <c r="B109" s="6" t="s">
        <v>280</v>
      </c>
      <c r="C109" s="6" t="s">
        <v>299</v>
      </c>
      <c r="D109" s="32" t="s">
        <v>300</v>
      </c>
      <c r="E109" s="33">
        <v>11669.11</v>
      </c>
      <c r="F109" s="33">
        <v>0</v>
      </c>
      <c r="G109" s="33">
        <v>630.17999999999995</v>
      </c>
      <c r="H109" s="33">
        <v>630.17999999999995</v>
      </c>
      <c r="I109" s="33"/>
      <c r="J109" s="33">
        <f t="shared" si="48"/>
        <v>5834.5550000000003</v>
      </c>
      <c r="K109" s="33">
        <v>1260.3599999999999</v>
      </c>
      <c r="L109" s="127">
        <v>11669.11</v>
      </c>
      <c r="M109" s="128">
        <v>11669.11</v>
      </c>
      <c r="N109" s="128">
        <v>11669.11</v>
      </c>
      <c r="O109" s="128">
        <v>11669.11</v>
      </c>
      <c r="P109" s="352">
        <v>630.17999999999995</v>
      </c>
      <c r="Q109" s="128">
        <f t="shared" si="49"/>
        <v>5834.5550000000003</v>
      </c>
      <c r="R109" s="128">
        <f t="shared" si="50"/>
        <v>11669.11</v>
      </c>
      <c r="S109" s="271"/>
    </row>
    <row r="110" spans="1:28" x14ac:dyDescent="0.25">
      <c r="A110" s="37" t="s">
        <v>301</v>
      </c>
      <c r="B110" s="6" t="s">
        <v>280</v>
      </c>
      <c r="C110" s="6" t="s">
        <v>302</v>
      </c>
      <c r="D110" s="37" t="s">
        <v>303</v>
      </c>
      <c r="E110" s="33">
        <v>3274.86</v>
      </c>
      <c r="F110" s="33">
        <v>0</v>
      </c>
      <c r="G110" s="33">
        <v>237.51</v>
      </c>
      <c r="H110" s="33">
        <v>237.51</v>
      </c>
      <c r="I110" s="33"/>
      <c r="J110" s="33">
        <f t="shared" si="48"/>
        <v>1637.43</v>
      </c>
      <c r="K110" s="59">
        <v>475.02</v>
      </c>
      <c r="L110" s="127">
        <v>3274.86</v>
      </c>
      <c r="M110" s="128">
        <v>3274.86</v>
      </c>
      <c r="N110" s="128">
        <v>3274.86</v>
      </c>
      <c r="O110" s="128">
        <v>3274.86</v>
      </c>
      <c r="P110" s="354">
        <v>237.51</v>
      </c>
      <c r="Q110" s="128">
        <f t="shared" si="49"/>
        <v>1637.43</v>
      </c>
      <c r="R110" s="128">
        <f t="shared" si="50"/>
        <v>3274.86</v>
      </c>
      <c r="S110" s="271"/>
    </row>
    <row r="111" spans="1:28" x14ac:dyDescent="0.25">
      <c r="A111" s="32" t="s">
        <v>304</v>
      </c>
      <c r="B111" s="6" t="s">
        <v>280</v>
      </c>
      <c r="C111" s="6" t="s">
        <v>305</v>
      </c>
      <c r="D111" s="32" t="s">
        <v>306</v>
      </c>
      <c r="E111" s="33">
        <v>0</v>
      </c>
      <c r="F111" s="33">
        <v>0</v>
      </c>
      <c r="G111" s="33">
        <v>0</v>
      </c>
      <c r="H111" s="33">
        <v>0</v>
      </c>
      <c r="I111" s="33"/>
      <c r="J111" s="33">
        <f>L111*1.05</f>
        <v>0</v>
      </c>
      <c r="K111" s="33">
        <v>0</v>
      </c>
      <c r="L111" s="127">
        <v>0</v>
      </c>
      <c r="M111" s="128">
        <v>0</v>
      </c>
      <c r="N111" s="128">
        <v>0</v>
      </c>
      <c r="O111" s="128">
        <v>0</v>
      </c>
      <c r="P111" s="352">
        <v>0</v>
      </c>
      <c r="Q111" s="128">
        <f t="shared" si="49"/>
        <v>0</v>
      </c>
      <c r="R111" s="128">
        <f t="shared" si="50"/>
        <v>0</v>
      </c>
      <c r="S111" s="269"/>
    </row>
    <row r="112" spans="1:28" x14ac:dyDescent="0.25">
      <c r="A112" s="460"/>
      <c r="B112" s="461"/>
      <c r="C112" s="461"/>
      <c r="D112" s="460"/>
      <c r="E112" s="78"/>
      <c r="F112" s="78"/>
      <c r="G112" s="78"/>
      <c r="H112" s="78"/>
      <c r="I112" s="78"/>
      <c r="J112" s="78"/>
      <c r="K112" s="78"/>
      <c r="L112" s="462"/>
      <c r="M112" s="463"/>
      <c r="N112" s="463"/>
      <c r="O112" s="463"/>
      <c r="P112" s="463"/>
      <c r="Q112" s="463">
        <f t="shared" si="49"/>
        <v>843</v>
      </c>
      <c r="R112" s="463">
        <f>843*2</f>
        <v>1686</v>
      </c>
      <c r="S112" s="308" t="s">
        <v>856</v>
      </c>
    </row>
    <row r="113" spans="1:26" x14ac:dyDescent="0.25">
      <c r="A113" s="460"/>
      <c r="B113" s="461"/>
      <c r="C113" s="461"/>
      <c r="D113" s="460"/>
      <c r="E113" s="78"/>
      <c r="F113" s="78"/>
      <c r="G113" s="78"/>
      <c r="H113" s="78"/>
      <c r="I113" s="78"/>
      <c r="J113" s="78"/>
      <c r="K113" s="78"/>
      <c r="L113" s="462"/>
      <c r="M113" s="463"/>
      <c r="N113" s="463"/>
      <c r="O113" s="463"/>
      <c r="P113" s="463"/>
      <c r="Q113" s="463">
        <f t="shared" si="49"/>
        <v>14228</v>
      </c>
      <c r="R113" s="463">
        <f>14228*2</f>
        <v>28456</v>
      </c>
      <c r="S113" s="350" t="s">
        <v>748</v>
      </c>
    </row>
    <row r="114" spans="1:26" x14ac:dyDescent="0.25">
      <c r="A114" s="460"/>
      <c r="B114" s="461"/>
      <c r="C114" s="461"/>
      <c r="D114" s="460"/>
      <c r="E114" s="78"/>
      <c r="F114" s="78"/>
      <c r="G114" s="78"/>
      <c r="H114" s="78"/>
      <c r="I114" s="78"/>
      <c r="J114" s="78"/>
      <c r="K114" s="78"/>
      <c r="L114" s="462"/>
      <c r="M114" s="463"/>
      <c r="N114" s="463"/>
      <c r="O114" s="463"/>
      <c r="P114" s="463"/>
      <c r="Q114" s="463">
        <f t="shared" si="49"/>
        <v>53428.54</v>
      </c>
      <c r="R114" s="463">
        <f>53428.54*2</f>
        <v>106857.08</v>
      </c>
      <c r="S114" s="308" t="s">
        <v>924</v>
      </c>
    </row>
    <row r="115" spans="1:26" x14ac:dyDescent="0.25">
      <c r="A115" s="460"/>
      <c r="B115" s="461"/>
      <c r="C115" s="461"/>
      <c r="D115" s="460"/>
      <c r="E115" s="78"/>
      <c r="F115" s="78"/>
      <c r="G115" s="78"/>
      <c r="H115" s="78"/>
      <c r="I115" s="78"/>
      <c r="J115" s="78"/>
      <c r="K115" s="78"/>
      <c r="L115" s="462"/>
      <c r="M115" s="463"/>
      <c r="N115" s="463"/>
      <c r="O115" s="463"/>
      <c r="P115" s="463"/>
      <c r="Q115" s="463">
        <f t="shared" si="49"/>
        <v>13085.64</v>
      </c>
      <c r="R115" s="463">
        <f>(3287.67+9797.97)*2</f>
        <v>26171.279999999999</v>
      </c>
      <c r="S115" s="308" t="s">
        <v>923</v>
      </c>
    </row>
    <row r="116" spans="1:26" x14ac:dyDescent="0.25">
      <c r="A116" s="460"/>
      <c r="B116" s="461"/>
      <c r="C116" s="461"/>
      <c r="D116" s="460"/>
      <c r="E116" s="78"/>
      <c r="F116" s="78"/>
      <c r="G116" s="78"/>
      <c r="H116" s="78"/>
      <c r="I116" s="78"/>
      <c r="J116" s="78"/>
      <c r="K116" s="78"/>
      <c r="L116" s="462"/>
      <c r="M116" s="463"/>
      <c r="N116" s="463"/>
      <c r="O116" s="463"/>
      <c r="P116" s="463"/>
      <c r="Q116" s="463">
        <f t="shared" si="49"/>
        <v>34150</v>
      </c>
      <c r="R116" s="463">
        <v>68300</v>
      </c>
      <c r="S116" s="308" t="s">
        <v>867</v>
      </c>
    </row>
    <row r="117" spans="1:26" x14ac:dyDescent="0.25">
      <c r="A117" s="23" t="s">
        <v>307</v>
      </c>
      <c r="B117" s="24"/>
      <c r="C117" s="24"/>
      <c r="D117" s="23" t="s">
        <v>308</v>
      </c>
      <c r="E117" s="61">
        <f t="shared" ref="E117:Q117" si="51">SUM(E118:E120)</f>
        <v>0</v>
      </c>
      <c r="F117" s="61">
        <f t="shared" si="51"/>
        <v>0</v>
      </c>
      <c r="G117" s="61">
        <f t="shared" si="51"/>
        <v>9074.15</v>
      </c>
      <c r="H117" s="61">
        <f t="shared" si="51"/>
        <v>2552.7299999999996</v>
      </c>
      <c r="I117" s="241">
        <f>SUM(I118:I120)</f>
        <v>31892.98</v>
      </c>
      <c r="J117" s="61">
        <f t="shared" si="51"/>
        <v>16034.779999999999</v>
      </c>
      <c r="K117" s="61">
        <f t="shared" si="51"/>
        <v>9074.15</v>
      </c>
      <c r="L117" s="141">
        <f t="shared" si="51"/>
        <v>32069.559999999998</v>
      </c>
      <c r="M117" s="142">
        <f t="shared" si="51"/>
        <v>0</v>
      </c>
      <c r="N117" s="142">
        <f t="shared" si="51"/>
        <v>0</v>
      </c>
      <c r="O117" s="142">
        <f t="shared" si="51"/>
        <v>0</v>
      </c>
      <c r="P117" s="142">
        <f t="shared" si="51"/>
        <v>-148.06</v>
      </c>
      <c r="Q117" s="142">
        <f t="shared" si="51"/>
        <v>598.5</v>
      </c>
      <c r="R117" s="142">
        <f>SUM(R118:R120)</f>
        <v>1197</v>
      </c>
      <c r="S117" s="273"/>
    </row>
    <row r="118" spans="1:26" x14ac:dyDescent="0.25">
      <c r="A118" s="32" t="s">
        <v>309</v>
      </c>
      <c r="B118" s="6" t="s">
        <v>155</v>
      </c>
      <c r="C118" s="6" t="s">
        <v>310</v>
      </c>
      <c r="D118" s="32" t="s">
        <v>311</v>
      </c>
      <c r="E118" s="33">
        <v>0</v>
      </c>
      <c r="F118" s="33">
        <v>0</v>
      </c>
      <c r="G118" s="33">
        <v>9074.15</v>
      </c>
      <c r="H118" s="33">
        <v>1189.56</v>
      </c>
      <c r="I118" s="33">
        <f>1189.56+8632.33+1.53</f>
        <v>9823.42</v>
      </c>
      <c r="J118" s="46">
        <f>L118*0.5</f>
        <v>5000</v>
      </c>
      <c r="K118" s="33">
        <v>9074.15</v>
      </c>
      <c r="L118" s="292">
        <v>10000</v>
      </c>
      <c r="M118" s="128">
        <v>0</v>
      </c>
      <c r="N118" s="128">
        <v>0</v>
      </c>
      <c r="O118" s="128"/>
      <c r="P118" s="352">
        <v>-148.06</v>
      </c>
      <c r="Q118" s="128">
        <f>R118/2</f>
        <v>0</v>
      </c>
      <c r="R118" s="128">
        <v>0</v>
      </c>
      <c r="S118" s="308" t="s">
        <v>925</v>
      </c>
    </row>
    <row r="119" spans="1:26" x14ac:dyDescent="0.25">
      <c r="A119" s="37" t="s">
        <v>313</v>
      </c>
      <c r="B119" s="6" t="s">
        <v>155</v>
      </c>
      <c r="C119" s="6" t="s">
        <v>314</v>
      </c>
      <c r="D119" s="37" t="s">
        <v>315</v>
      </c>
      <c r="E119" s="59">
        <v>0</v>
      </c>
      <c r="F119" s="59">
        <v>0</v>
      </c>
      <c r="G119" s="59">
        <v>0</v>
      </c>
      <c r="H119" s="59">
        <v>0.11</v>
      </c>
      <c r="I119" s="240">
        <v>0.65</v>
      </c>
      <c r="J119" s="59">
        <f>L119*0.5</f>
        <v>0.32500000000000001</v>
      </c>
      <c r="K119" s="59">
        <v>0</v>
      </c>
      <c r="L119" s="127">
        <v>0.65</v>
      </c>
      <c r="M119" s="128">
        <v>0</v>
      </c>
      <c r="N119" s="128">
        <v>0</v>
      </c>
      <c r="O119" s="128"/>
      <c r="P119" s="128"/>
      <c r="Q119" s="128"/>
      <c r="R119" s="128"/>
      <c r="S119" s="282"/>
    </row>
    <row r="120" spans="1:26" x14ac:dyDescent="0.25">
      <c r="A120" s="32" t="s">
        <v>316</v>
      </c>
      <c r="B120" s="6" t="s">
        <v>155</v>
      </c>
      <c r="C120" s="6" t="s">
        <v>317</v>
      </c>
      <c r="D120" s="32" t="s">
        <v>318</v>
      </c>
      <c r="E120" s="33">
        <v>0</v>
      </c>
      <c r="F120" s="33">
        <v>0</v>
      </c>
      <c r="G120" s="33">
        <v>0</v>
      </c>
      <c r="H120" s="33">
        <v>1363.06</v>
      </c>
      <c r="I120" s="33">
        <f>1363.06+20705.85</f>
        <v>22068.91</v>
      </c>
      <c r="J120" s="33">
        <f>L120*0.5</f>
        <v>11034.455</v>
      </c>
      <c r="K120" s="33">
        <v>0</v>
      </c>
      <c r="L120" s="127">
        <f>+I120</f>
        <v>22068.91</v>
      </c>
      <c r="M120" s="128">
        <v>0</v>
      </c>
      <c r="N120" s="128">
        <v>0</v>
      </c>
      <c r="O120" s="128"/>
      <c r="P120" s="128"/>
      <c r="Q120" s="128">
        <f>R120/2</f>
        <v>598.5</v>
      </c>
      <c r="R120" s="128">
        <v>1197</v>
      </c>
      <c r="S120" s="308" t="s">
        <v>1045</v>
      </c>
    </row>
    <row r="121" spans="1:26" x14ac:dyDescent="0.25">
      <c r="A121" s="17" t="s">
        <v>319</v>
      </c>
      <c r="B121" s="18"/>
      <c r="C121" s="18"/>
      <c r="D121" s="17" t="s">
        <v>320</v>
      </c>
      <c r="E121" s="72">
        <f>E122+E227+E249+E250+E253+E258+E261+E262+E263</f>
        <v>-3177461.5999999996</v>
      </c>
      <c r="F121" s="72">
        <f>F122+F227+F249+F250+F253+F258+F261+F262+F263</f>
        <v>-2130870.2799999998</v>
      </c>
      <c r="G121" s="72">
        <f>G122+G227+G249+G250+G253+G258+G261+G262+G263</f>
        <v>-703781.82000000007</v>
      </c>
      <c r="H121" s="72">
        <f>H122+H227+H249+H250+H253+H258+H261+H262+H263</f>
        <v>-448522.95</v>
      </c>
      <c r="I121" s="243">
        <f>I122+I227+I249+I250+I253+I258+I259+I262+I263</f>
        <v>-1030663.6199999999</v>
      </c>
      <c r="J121" s="72">
        <f t="shared" ref="J121:R121" si="52">J122+J227+J249+J250+J253+J258+J261+J262+J263</f>
        <v>-1468919.9783333333</v>
      </c>
      <c r="K121" s="72">
        <f t="shared" si="52"/>
        <v>-917925.69</v>
      </c>
      <c r="L121" s="151">
        <f t="shared" si="52"/>
        <v>-2960365.6166666672</v>
      </c>
      <c r="M121" s="152">
        <f t="shared" si="52"/>
        <v>-3217516.3050080361</v>
      </c>
      <c r="N121" s="139">
        <f t="shared" si="52"/>
        <v>-3588372.2800000003</v>
      </c>
      <c r="O121" s="139">
        <f t="shared" si="52"/>
        <v>-1559420.46</v>
      </c>
      <c r="P121" s="139">
        <f t="shared" si="52"/>
        <v>-1030286.97</v>
      </c>
      <c r="Q121" s="296">
        <f t="shared" si="52"/>
        <v>-1537502.4372</v>
      </c>
      <c r="R121" s="139">
        <f t="shared" si="52"/>
        <v>-3181159.3244000003</v>
      </c>
      <c r="S121" s="271">
        <f>N121-R121</f>
        <v>-407212.95559999999</v>
      </c>
      <c r="T121" s="70">
        <f>S5+S121</f>
        <v>-12274.35376939876</v>
      </c>
    </row>
    <row r="122" spans="1:26" x14ac:dyDescent="0.25">
      <c r="A122" s="20" t="s">
        <v>321</v>
      </c>
      <c r="B122" s="21"/>
      <c r="C122" s="21"/>
      <c r="D122" s="20" t="s">
        <v>322</v>
      </c>
      <c r="E122" s="71">
        <f t="shared" ref="E122:L122" si="53">E124+E190+E193+E197+E200+E202+E204</f>
        <v>-2053681.2599999998</v>
      </c>
      <c r="F122" s="71">
        <f t="shared" si="53"/>
        <v>-1740912.2199999997</v>
      </c>
      <c r="G122" s="71">
        <f t="shared" si="53"/>
        <v>-365142.01</v>
      </c>
      <c r="H122" s="71">
        <f t="shared" si="53"/>
        <v>-268712.90000000002</v>
      </c>
      <c r="I122" s="242">
        <f t="shared" si="53"/>
        <v>-425427.62999999995</v>
      </c>
      <c r="J122" s="71">
        <f t="shared" si="53"/>
        <v>-929674.55833333335</v>
      </c>
      <c r="K122" s="71">
        <f t="shared" si="53"/>
        <v>-519267.63999999996</v>
      </c>
      <c r="L122" s="148">
        <f t="shared" si="53"/>
        <v>-1881874.7966666669</v>
      </c>
      <c r="M122" s="113">
        <f t="shared" ref="M122:P122" si="54">M124+M190+M193+M197+M200+M202+M204+M207+M219</f>
        <v>-1631777.82</v>
      </c>
      <c r="N122" s="113">
        <f t="shared" si="54"/>
        <v>-1972818.51</v>
      </c>
      <c r="O122" s="113">
        <f t="shared" si="54"/>
        <v>-1375986.72</v>
      </c>
      <c r="P122" s="113">
        <f t="shared" si="54"/>
        <v>-518597.64</v>
      </c>
      <c r="Q122" s="113">
        <f>Q123+Q124+Q190+Q193+Q197+Q200+Q202+Q204+Q207+Q219</f>
        <v>-818598.96219999995</v>
      </c>
      <c r="R122" s="113">
        <f>R123+R124+R190+R193+R197+R200+R202+R204+R207+R219</f>
        <v>-1645159.0944000001</v>
      </c>
      <c r="S122" s="271">
        <f>+L122-I122</f>
        <v>-1456447.166666667</v>
      </c>
      <c r="T122" t="s">
        <v>849</v>
      </c>
    </row>
    <row r="123" spans="1:26" x14ac:dyDescent="0.25">
      <c r="A123" s="32"/>
      <c r="B123" s="6"/>
      <c r="C123" s="6" t="s">
        <v>1077</v>
      </c>
      <c r="D123" s="32" t="s">
        <v>1073</v>
      </c>
      <c r="E123" s="33"/>
      <c r="F123" s="33"/>
      <c r="G123" s="33"/>
      <c r="H123" s="33"/>
      <c r="I123" s="33"/>
      <c r="J123" s="33"/>
      <c r="K123" s="33"/>
      <c r="L123" s="293"/>
      <c r="M123" s="128"/>
      <c r="N123" s="128">
        <v>0</v>
      </c>
      <c r="O123" s="128"/>
      <c r="P123" s="318"/>
      <c r="Q123" s="128">
        <v>-79842.33</v>
      </c>
      <c r="R123" s="128">
        <f>Q123-55000</f>
        <v>-134842.33000000002</v>
      </c>
      <c r="S123" s="308" t="s">
        <v>1078</v>
      </c>
      <c r="U123" s="74"/>
      <c r="V123" s="74"/>
      <c r="W123" s="74"/>
      <c r="X123" s="74"/>
    </row>
    <row r="124" spans="1:26" x14ac:dyDescent="0.25">
      <c r="A124" s="67" t="s">
        <v>323</v>
      </c>
      <c r="B124" s="68"/>
      <c r="C124" s="68"/>
      <c r="D124" s="67" t="s">
        <v>324</v>
      </c>
      <c r="E124" s="73">
        <f t="shared" ref="E124:P124" si="55">E125+E162+E173+E176+E181+E188</f>
        <v>-1821866.3599999999</v>
      </c>
      <c r="F124" s="73">
        <f t="shared" si="55"/>
        <v>-1674996.04</v>
      </c>
      <c r="G124" s="73">
        <f t="shared" si="55"/>
        <v>-338444.86</v>
      </c>
      <c r="H124" s="73">
        <f t="shared" si="55"/>
        <v>-250344.5</v>
      </c>
      <c r="I124" s="244">
        <f t="shared" si="55"/>
        <v>-397234.37999999995</v>
      </c>
      <c r="J124" s="73">
        <f t="shared" si="55"/>
        <v>-875936.51833333331</v>
      </c>
      <c r="K124" s="73">
        <f t="shared" si="55"/>
        <v>-480124.54</v>
      </c>
      <c r="L124" s="153">
        <f t="shared" si="55"/>
        <v>-1753473.0366666666</v>
      </c>
      <c r="M124" s="154">
        <f t="shared" si="55"/>
        <v>-1312788.9100000001</v>
      </c>
      <c r="N124" s="154">
        <f>N125+N162+N173+N176+N181+N188</f>
        <v>-1493829.6</v>
      </c>
      <c r="O124" s="154">
        <f t="shared" si="55"/>
        <v>-1193219.3599999999</v>
      </c>
      <c r="P124" s="154">
        <f t="shared" si="55"/>
        <v>-421110.6</v>
      </c>
      <c r="Q124" s="154">
        <f>Q125+Q162+Q173+Q176+Q181+Q188</f>
        <v>-642627.62</v>
      </c>
      <c r="R124" s="154">
        <f>R125+R162+R173+R176+R181+R188</f>
        <v>-1294651.54</v>
      </c>
      <c r="S124" s="275"/>
    </row>
    <row r="125" spans="1:26" x14ac:dyDescent="0.25">
      <c r="A125" s="26" t="s">
        <v>325</v>
      </c>
      <c r="B125" s="27"/>
      <c r="C125" s="27"/>
      <c r="D125" s="26" t="s">
        <v>326</v>
      </c>
      <c r="E125" s="38">
        <f t="shared" ref="E125:M125" si="56">E126+E133+E138+E142+E150+E152</f>
        <v>-404234.5</v>
      </c>
      <c r="F125" s="38">
        <f t="shared" si="56"/>
        <v>-335068.13</v>
      </c>
      <c r="G125" s="38">
        <f t="shared" si="56"/>
        <v>-99341.39</v>
      </c>
      <c r="H125" s="38">
        <f t="shared" si="56"/>
        <v>-53238.880000000005</v>
      </c>
      <c r="I125" s="237">
        <f>I126+I133+I138+I142+I150+I152</f>
        <v>-136581.73000000001</v>
      </c>
      <c r="J125" s="38">
        <f t="shared" si="56"/>
        <v>-201257.34499999997</v>
      </c>
      <c r="K125" s="38">
        <f t="shared" si="56"/>
        <v>-145625.11000000002</v>
      </c>
      <c r="L125" s="134">
        <f>L126+L133+L138+L142+L150+L152</f>
        <v>-402514.68999999994</v>
      </c>
      <c r="M125" s="135">
        <f t="shared" si="56"/>
        <v>-323600</v>
      </c>
      <c r="N125" s="135">
        <f>N126+N133+N138+N142+N150+N152+N156</f>
        <v>-309900</v>
      </c>
      <c r="O125" s="135">
        <f t="shared" ref="O125:P125" si="57">O126+O133+O138+O142+O150+O152+O156</f>
        <v>-315590.91000000003</v>
      </c>
      <c r="P125" s="135">
        <f t="shared" si="57"/>
        <v>-102270.87000000001</v>
      </c>
      <c r="Q125" s="135">
        <f>Q126+Q133+Q138+Q142+Q150+Q152+Q156</f>
        <v>-149753.905</v>
      </c>
      <c r="R125" s="135">
        <f>R126+R133+R138+R142+R150+R152+R156</f>
        <v>-308904.11</v>
      </c>
      <c r="S125" s="351">
        <f>S126+S133+S138+S142+S150+S152+S156</f>
        <v>-995.88999999998487</v>
      </c>
      <c r="T125" t="s">
        <v>327</v>
      </c>
      <c r="Y125" t="s">
        <v>328</v>
      </c>
      <c r="Z125" t="s">
        <v>329</v>
      </c>
    </row>
    <row r="126" spans="1:26" x14ac:dyDescent="0.25">
      <c r="A126" s="39" t="s">
        <v>330</v>
      </c>
      <c r="B126" s="40"/>
      <c r="C126" s="40"/>
      <c r="D126" s="39" t="s">
        <v>331</v>
      </c>
      <c r="E126" s="41">
        <f t="shared" ref="E126:P126" si="58">SUM(E127:E132)</f>
        <v>-111000</v>
      </c>
      <c r="F126" s="41">
        <f t="shared" si="58"/>
        <v>-87182.33</v>
      </c>
      <c r="G126" s="41">
        <f t="shared" si="58"/>
        <v>-17166.02</v>
      </c>
      <c r="H126" s="41">
        <f t="shared" si="58"/>
        <v>-16171.27</v>
      </c>
      <c r="I126" s="238">
        <f>SUM(I127:I132)</f>
        <v>-44878.61</v>
      </c>
      <c r="J126" s="41">
        <f t="shared" si="58"/>
        <v>-49119.79</v>
      </c>
      <c r="K126" s="41">
        <f t="shared" si="58"/>
        <v>-53921.99</v>
      </c>
      <c r="L126" s="130">
        <f>SUM(L127:L132)</f>
        <v>-98239.58</v>
      </c>
      <c r="M126" s="77">
        <f t="shared" si="58"/>
        <v>-91000</v>
      </c>
      <c r="N126" s="77">
        <f>SUM(N127:N132)</f>
        <v>-91000</v>
      </c>
      <c r="O126" s="77">
        <f t="shared" si="58"/>
        <v>-106040.09000000001</v>
      </c>
      <c r="P126" s="77">
        <f t="shared" si="58"/>
        <v>-33915.56</v>
      </c>
      <c r="Q126" s="77">
        <f>SUM(Q127:Q132)</f>
        <v>-46888.115000000005</v>
      </c>
      <c r="R126" s="77">
        <f>SUM(R127:R132)</f>
        <v>-93776.23000000001</v>
      </c>
      <c r="S126" s="271">
        <f>N126-R126</f>
        <v>2776.2300000000105</v>
      </c>
      <c r="T126" s="70">
        <f>E126-L126</f>
        <v>-12760.419999999998</v>
      </c>
      <c r="U126" s="70"/>
      <c r="V126" s="70"/>
      <c r="W126" s="70"/>
      <c r="X126" s="70"/>
      <c r="Y126" s="755">
        <f>T126+T133+T138+T142+T150+T152+T155</f>
        <v>-1719.8100000000049</v>
      </c>
      <c r="Z126" s="70">
        <f>E126-L127-L128-L129-L130-L131</f>
        <v>-29760.42</v>
      </c>
    </row>
    <row r="127" spans="1:26" x14ac:dyDescent="0.25">
      <c r="A127" s="32" t="s">
        <v>332</v>
      </c>
      <c r="B127" s="6" t="s">
        <v>27</v>
      </c>
      <c r="C127" s="6" t="s">
        <v>333</v>
      </c>
      <c r="D127" s="32" t="s">
        <v>334</v>
      </c>
      <c r="E127" s="33">
        <v>-40000</v>
      </c>
      <c r="F127" s="33">
        <v>-39613.699999999997</v>
      </c>
      <c r="G127" s="33">
        <v>0</v>
      </c>
      <c r="H127" s="33">
        <v>0</v>
      </c>
      <c r="I127" s="33">
        <v>-15584.84</v>
      </c>
      <c r="J127" s="33">
        <f t="shared" ref="J127:J132" si="59">L127*0.5</f>
        <v>-19137.36</v>
      </c>
      <c r="K127" s="33">
        <v>-15584.84</v>
      </c>
      <c r="L127" s="293">
        <f>-39874.72+1600</f>
        <v>-38274.720000000001</v>
      </c>
      <c r="M127" s="128">
        <v>-40000</v>
      </c>
      <c r="N127" s="128">
        <v>-40000</v>
      </c>
      <c r="O127" s="128">
        <v>-61992.93</v>
      </c>
      <c r="P127" s="318">
        <v>-12391.9</v>
      </c>
      <c r="Q127" s="128">
        <f t="shared" ref="Q127:Q132" si="60">R127/2</f>
        <v>-17332.739999999998</v>
      </c>
      <c r="R127" s="128">
        <f>P127-10834.08-4439.5-7000</f>
        <v>-34665.479999999996</v>
      </c>
      <c r="S127" s="308" t="s">
        <v>994</v>
      </c>
      <c r="T127" s="74"/>
      <c r="U127" s="74"/>
      <c r="V127" s="74"/>
      <c r="W127" s="74"/>
      <c r="X127" s="74"/>
      <c r="Y127" s="755"/>
    </row>
    <row r="128" spans="1:26" x14ac:dyDescent="0.25">
      <c r="A128" s="37" t="s">
        <v>335</v>
      </c>
      <c r="B128" s="6" t="s">
        <v>27</v>
      </c>
      <c r="C128" s="6" t="s">
        <v>336</v>
      </c>
      <c r="D128" s="37" t="s">
        <v>337</v>
      </c>
      <c r="E128" s="33">
        <v>-28000</v>
      </c>
      <c r="F128" s="33">
        <v>-20666.13</v>
      </c>
      <c r="G128" s="33">
        <v>-13320.34</v>
      </c>
      <c r="H128" s="33">
        <v>-13320.34</v>
      </c>
      <c r="I128" s="33">
        <f>-12908.77-411.57</f>
        <v>-13320.34</v>
      </c>
      <c r="J128" s="33">
        <f t="shared" si="59"/>
        <v>-11500</v>
      </c>
      <c r="K128" s="33">
        <v>-22363.72</v>
      </c>
      <c r="L128" s="127">
        <v>-23000</v>
      </c>
      <c r="M128" s="128">
        <v>-28000</v>
      </c>
      <c r="N128" s="128">
        <v>-28000</v>
      </c>
      <c r="O128" s="128">
        <v>-16476.29</v>
      </c>
      <c r="P128" s="317">
        <v>-14081.38</v>
      </c>
      <c r="Q128" s="128">
        <f t="shared" si="60"/>
        <v>-12738.145</v>
      </c>
      <c r="R128" s="128">
        <f>O128-9000</f>
        <v>-25476.29</v>
      </c>
      <c r="S128" s="269"/>
      <c r="Y128" s="755"/>
    </row>
    <row r="129" spans="1:26" hidden="1" x14ac:dyDescent="0.25">
      <c r="A129" s="32" t="s">
        <v>338</v>
      </c>
      <c r="B129" s="310" t="s">
        <v>27</v>
      </c>
      <c r="C129" s="310" t="s">
        <v>339</v>
      </c>
      <c r="D129" s="311" t="s">
        <v>340</v>
      </c>
      <c r="E129" s="33">
        <v>-6000</v>
      </c>
      <c r="F129" s="33">
        <v>0</v>
      </c>
      <c r="G129" s="33">
        <v>-678</v>
      </c>
      <c r="H129" s="33">
        <v>-678</v>
      </c>
      <c r="I129" s="33"/>
      <c r="J129" s="33">
        <f t="shared" si="59"/>
        <v>0</v>
      </c>
      <c r="K129" s="33"/>
      <c r="L129" s="128">
        <v>0</v>
      </c>
      <c r="M129" s="128">
        <v>0</v>
      </c>
      <c r="N129" s="312">
        <v>0</v>
      </c>
      <c r="O129" s="312">
        <v>0</v>
      </c>
      <c r="P129" s="312">
        <v>0</v>
      </c>
      <c r="Q129" s="128">
        <f t="shared" si="60"/>
        <v>0</v>
      </c>
      <c r="R129" s="312">
        <v>0</v>
      </c>
      <c r="S129" s="308" t="s">
        <v>751</v>
      </c>
      <c r="Y129" s="755"/>
    </row>
    <row r="130" spans="1:26" x14ac:dyDescent="0.25">
      <c r="A130" s="37" t="s">
        <v>341</v>
      </c>
      <c r="B130" s="6" t="s">
        <v>27</v>
      </c>
      <c r="C130" s="6" t="s">
        <v>342</v>
      </c>
      <c r="D130" s="37" t="s">
        <v>343</v>
      </c>
      <c r="E130" s="33">
        <v>-8000</v>
      </c>
      <c r="F130" s="33">
        <v>-6383.02</v>
      </c>
      <c r="G130" s="33">
        <v>-3167.68</v>
      </c>
      <c r="H130" s="33">
        <v>-2172.9299999999998</v>
      </c>
      <c r="I130" s="33">
        <f>-2172.93-2172.93-994.75</f>
        <v>-5340.61</v>
      </c>
      <c r="J130" s="33">
        <f t="shared" si="59"/>
        <v>-2832.43</v>
      </c>
      <c r="K130" s="33">
        <v>-5340.61</v>
      </c>
      <c r="L130" s="127">
        <f>K130-324.25</f>
        <v>-5664.86</v>
      </c>
      <c r="M130" s="128">
        <v>-5000</v>
      </c>
      <c r="N130" s="128">
        <v>-5000</v>
      </c>
      <c r="O130" s="128">
        <v>-12809.79</v>
      </c>
      <c r="P130" s="317">
        <v>-2497.1799999999998</v>
      </c>
      <c r="Q130" s="128">
        <f t="shared" si="60"/>
        <v>-2497.1799999999998</v>
      </c>
      <c r="R130" s="128">
        <f>P130*2</f>
        <v>-4994.3599999999997</v>
      </c>
      <c r="S130" s="269"/>
      <c r="Y130" s="755"/>
    </row>
    <row r="131" spans="1:26" x14ac:dyDescent="0.25">
      <c r="A131" s="32" t="s">
        <v>344</v>
      </c>
      <c r="B131" s="6" t="s">
        <v>27</v>
      </c>
      <c r="C131" s="6" t="s">
        <v>345</v>
      </c>
      <c r="D131" s="32" t="s">
        <v>346</v>
      </c>
      <c r="E131" s="33">
        <v>-14000</v>
      </c>
      <c r="F131" s="33">
        <v>-11519.48</v>
      </c>
      <c r="G131" s="33">
        <v>0</v>
      </c>
      <c r="H131" s="33">
        <v>0</v>
      </c>
      <c r="I131" s="33">
        <v>-10632.82</v>
      </c>
      <c r="J131" s="33">
        <f t="shared" si="59"/>
        <v>-7150</v>
      </c>
      <c r="K131" s="33">
        <v>-10632.82</v>
      </c>
      <c r="L131" s="127">
        <v>-14300</v>
      </c>
      <c r="M131" s="128">
        <v>-13000</v>
      </c>
      <c r="N131" s="473">
        <v>-13000</v>
      </c>
      <c r="O131" s="473">
        <v>-9835.98</v>
      </c>
      <c r="P131" s="473">
        <v>0</v>
      </c>
      <c r="Q131" s="473">
        <f t="shared" si="60"/>
        <v>-4347.5</v>
      </c>
      <c r="R131" s="473">
        <v>-8695</v>
      </c>
      <c r="S131" s="269"/>
      <c r="Y131" s="755"/>
    </row>
    <row r="132" spans="1:26" x14ac:dyDescent="0.25">
      <c r="A132" s="51" t="s">
        <v>347</v>
      </c>
      <c r="B132" s="42" t="s">
        <v>27</v>
      </c>
      <c r="C132" s="42" t="s">
        <v>348</v>
      </c>
      <c r="D132" s="51" t="s">
        <v>349</v>
      </c>
      <c r="E132" s="52">
        <v>-15000</v>
      </c>
      <c r="F132" s="52">
        <v>-9000</v>
      </c>
      <c r="G132" s="52">
        <v>0</v>
      </c>
      <c r="H132" s="52">
        <v>0</v>
      </c>
      <c r="I132" s="33">
        <v>0</v>
      </c>
      <c r="J132" s="52">
        <f t="shared" si="59"/>
        <v>-8500</v>
      </c>
      <c r="K132" s="52">
        <v>0</v>
      </c>
      <c r="L132" s="131">
        <f>-17000</f>
        <v>-17000</v>
      </c>
      <c r="M132" s="155">
        <v>-5000</v>
      </c>
      <c r="N132" s="156">
        <v>-5000</v>
      </c>
      <c r="O132" s="156">
        <v>-4925.1000000000004</v>
      </c>
      <c r="P132" s="156">
        <v>-4945.1000000000004</v>
      </c>
      <c r="Q132" s="128">
        <f t="shared" si="60"/>
        <v>-9972.5499999999993</v>
      </c>
      <c r="R132" s="128">
        <f>P132-15000</f>
        <v>-19945.099999999999</v>
      </c>
      <c r="S132" s="308" t="s">
        <v>1069</v>
      </c>
      <c r="Y132" s="755"/>
    </row>
    <row r="133" spans="1:26" x14ac:dyDescent="0.25">
      <c r="A133" s="39" t="s">
        <v>350</v>
      </c>
      <c r="B133" s="40"/>
      <c r="C133" s="40"/>
      <c r="D133" s="39" t="s">
        <v>351</v>
      </c>
      <c r="E133" s="77">
        <f t="shared" ref="E133:M133" si="61">SUM(E134:E137)</f>
        <v>-40000</v>
      </c>
      <c r="F133" s="77">
        <f t="shared" si="61"/>
        <v>-29430.080000000002</v>
      </c>
      <c r="G133" s="77">
        <f t="shared" si="61"/>
        <v>-7590.13</v>
      </c>
      <c r="H133" s="77">
        <f t="shared" si="61"/>
        <v>-7590.13</v>
      </c>
      <c r="I133" s="245">
        <f>SUM(I134:I137)</f>
        <v>-7590.13</v>
      </c>
      <c r="J133" s="77">
        <f t="shared" si="61"/>
        <v>-15136.504999999999</v>
      </c>
      <c r="K133" s="77">
        <f t="shared" si="61"/>
        <v>-7590.13</v>
      </c>
      <c r="L133" s="157">
        <f>SUM(L134:L137)</f>
        <v>-30273.01</v>
      </c>
      <c r="M133" s="77">
        <f t="shared" si="61"/>
        <v>-30000</v>
      </c>
      <c r="N133" s="77">
        <f>SUM(N134:N137)</f>
        <v>-30000</v>
      </c>
      <c r="O133" s="77">
        <f t="shared" ref="O133:P133" si="62">SUM(O134:O137)</f>
        <v>-34383.770000000004</v>
      </c>
      <c r="P133" s="77">
        <f t="shared" si="62"/>
        <v>-7270.12</v>
      </c>
      <c r="Q133" s="77">
        <f>SUM(Q134:Q137)</f>
        <v>-17166.915000000001</v>
      </c>
      <c r="R133" s="77">
        <f>SUM(R134:R137)</f>
        <v>-34333.83</v>
      </c>
      <c r="S133" s="271">
        <f>N133-R133</f>
        <v>4333.8300000000017</v>
      </c>
      <c r="T133" s="70">
        <f>E133-L133</f>
        <v>-9726.9900000000016</v>
      </c>
      <c r="U133" s="70"/>
      <c r="V133" s="70"/>
      <c r="W133" s="70"/>
      <c r="X133" s="70"/>
      <c r="Y133" s="755"/>
      <c r="Z133" s="70">
        <f>E133-L134-L135-L136</f>
        <v>-22855.190000000002</v>
      </c>
    </row>
    <row r="134" spans="1:26" x14ac:dyDescent="0.25">
      <c r="A134" s="37" t="s">
        <v>352</v>
      </c>
      <c r="B134" s="6" t="s">
        <v>27</v>
      </c>
      <c r="C134" s="6" t="s">
        <v>353</v>
      </c>
      <c r="D134" s="37" t="s">
        <v>354</v>
      </c>
      <c r="E134" s="33">
        <v>-15250</v>
      </c>
      <c r="F134" s="33">
        <v>-29430.080000000002</v>
      </c>
      <c r="G134" s="33">
        <v>-6970.13</v>
      </c>
      <c r="H134" s="33">
        <v>-6970.13</v>
      </c>
      <c r="I134" s="33">
        <v>-6970.13</v>
      </c>
      <c r="J134" s="33">
        <f>L134*0.5</f>
        <v>-6862.4049999999997</v>
      </c>
      <c r="K134" s="33">
        <v>-6970.13</v>
      </c>
      <c r="L134" s="127">
        <f>-13724.81</f>
        <v>-13724.81</v>
      </c>
      <c r="M134" s="128">
        <v>-17000</v>
      </c>
      <c r="N134" s="128">
        <v>-17000</v>
      </c>
      <c r="O134" s="128">
        <v>-27384.45</v>
      </c>
      <c r="P134" s="128">
        <v>-7089.12</v>
      </c>
      <c r="Q134" s="128">
        <f>R134/2</f>
        <v>-7855.7999999999993</v>
      </c>
      <c r="R134" s="128">
        <f>-8622.48-7089.12</f>
        <v>-15711.599999999999</v>
      </c>
      <c r="S134" s="269"/>
      <c r="T134" s="158"/>
      <c r="U134" s="158"/>
      <c r="V134" s="158"/>
      <c r="W134" s="158"/>
      <c r="X134" s="158"/>
      <c r="Y134" s="755"/>
    </row>
    <row r="135" spans="1:26" x14ac:dyDescent="0.25">
      <c r="A135" s="32" t="s">
        <v>355</v>
      </c>
      <c r="B135" s="6" t="s">
        <v>27</v>
      </c>
      <c r="C135" s="6" t="s">
        <v>356</v>
      </c>
      <c r="D135" s="32" t="s">
        <v>357</v>
      </c>
      <c r="E135" s="33">
        <v>-4000</v>
      </c>
      <c r="F135" s="33">
        <v>0</v>
      </c>
      <c r="G135" s="33">
        <v>-620</v>
      </c>
      <c r="H135" s="33">
        <v>-620</v>
      </c>
      <c r="I135" s="33">
        <v>-620</v>
      </c>
      <c r="J135" s="33">
        <f>L135*0.5</f>
        <v>-1710</v>
      </c>
      <c r="K135" s="33">
        <f>-744+124</f>
        <v>-620</v>
      </c>
      <c r="L135" s="127">
        <f>K135-2800</f>
        <v>-3420</v>
      </c>
      <c r="M135" s="128">
        <v>-3000</v>
      </c>
      <c r="N135" s="128">
        <v>-3000</v>
      </c>
      <c r="O135" s="128">
        <v>-2004.11</v>
      </c>
      <c r="P135" s="128">
        <v>-181</v>
      </c>
      <c r="Q135" s="128">
        <f>R135/2</f>
        <v>-690.5</v>
      </c>
      <c r="R135" s="128">
        <v>-1381</v>
      </c>
      <c r="S135" s="269"/>
      <c r="T135" s="159"/>
      <c r="U135" s="159"/>
      <c r="V135" s="159"/>
      <c r="W135" s="159"/>
      <c r="X135" s="159"/>
      <c r="Y135" s="755"/>
    </row>
    <row r="136" spans="1:26" x14ac:dyDescent="0.25">
      <c r="A136" s="37" t="s">
        <v>358</v>
      </c>
      <c r="B136" s="6" t="s">
        <v>27</v>
      </c>
      <c r="C136" s="310" t="s">
        <v>359</v>
      </c>
      <c r="D136" s="313" t="s">
        <v>360</v>
      </c>
      <c r="E136" s="33">
        <v>-1500</v>
      </c>
      <c r="F136" s="33">
        <v>0</v>
      </c>
      <c r="G136" s="33">
        <v>0</v>
      </c>
      <c r="H136" s="33">
        <v>0</v>
      </c>
      <c r="I136" s="33"/>
      <c r="J136" s="33">
        <f>L136*0.5</f>
        <v>0</v>
      </c>
      <c r="K136" s="33">
        <v>0</v>
      </c>
      <c r="L136" s="127">
        <v>0</v>
      </c>
      <c r="M136" s="128">
        <v>0</v>
      </c>
      <c r="N136" s="312">
        <v>0</v>
      </c>
      <c r="O136" s="312">
        <v>0</v>
      </c>
      <c r="P136" s="312">
        <v>0</v>
      </c>
      <c r="Q136" s="128">
        <f>R136/2</f>
        <v>0</v>
      </c>
      <c r="R136" s="312">
        <v>0</v>
      </c>
      <c r="S136" s="308" t="s">
        <v>942</v>
      </c>
      <c r="Y136" s="755"/>
    </row>
    <row r="137" spans="1:26" x14ac:dyDescent="0.25">
      <c r="A137" s="51" t="s">
        <v>361</v>
      </c>
      <c r="B137" s="42" t="s">
        <v>27</v>
      </c>
      <c r="C137" s="42" t="s">
        <v>362</v>
      </c>
      <c r="D137" s="51" t="s">
        <v>363</v>
      </c>
      <c r="E137" s="52">
        <v>-19250</v>
      </c>
      <c r="F137" s="52">
        <v>0</v>
      </c>
      <c r="G137" s="52">
        <v>0</v>
      </c>
      <c r="H137" s="52">
        <v>0</v>
      </c>
      <c r="I137" s="246"/>
      <c r="J137" s="52">
        <f>L137*0.5</f>
        <v>-6564.1</v>
      </c>
      <c r="K137" s="52">
        <v>0</v>
      </c>
      <c r="L137" s="131">
        <v>-13128.2</v>
      </c>
      <c r="M137" s="155">
        <v>-10000</v>
      </c>
      <c r="N137" s="160">
        <v>-10000</v>
      </c>
      <c r="O137" s="160">
        <v>-4995.21</v>
      </c>
      <c r="P137" s="160">
        <v>0</v>
      </c>
      <c r="Q137" s="128">
        <f>R137/2</f>
        <v>-8620.6149999999998</v>
      </c>
      <c r="R137" s="330">
        <f>-241.23-17000</f>
        <v>-17241.23</v>
      </c>
      <c r="S137" s="308" t="s">
        <v>1086</v>
      </c>
      <c r="Y137" s="755"/>
    </row>
    <row r="138" spans="1:26" x14ac:dyDescent="0.25">
      <c r="A138" s="39" t="s">
        <v>364</v>
      </c>
      <c r="B138" s="40"/>
      <c r="C138" s="40"/>
      <c r="D138" s="39" t="s">
        <v>365</v>
      </c>
      <c r="E138" s="77">
        <f t="shared" ref="E138:M138" si="63">SUM(E139:E141)</f>
        <v>-55000</v>
      </c>
      <c r="F138" s="77">
        <f t="shared" si="63"/>
        <v>-50551.44</v>
      </c>
      <c r="G138" s="77">
        <f t="shared" si="63"/>
        <v>-9919.16</v>
      </c>
      <c r="H138" s="77">
        <f t="shared" si="63"/>
        <v>0</v>
      </c>
      <c r="I138" s="245">
        <f>SUM(I139:I141)</f>
        <v>-17825.91</v>
      </c>
      <c r="J138" s="77">
        <f t="shared" si="63"/>
        <v>-26338.785000000003</v>
      </c>
      <c r="K138" s="77">
        <f t="shared" si="63"/>
        <v>-17825.91</v>
      </c>
      <c r="L138" s="157">
        <f>SUM(L139:L141)</f>
        <v>-52677.570000000007</v>
      </c>
      <c r="M138" s="77">
        <f t="shared" si="63"/>
        <v>-50000</v>
      </c>
      <c r="N138" s="77">
        <f>SUM(N139:N141)</f>
        <v>-50000</v>
      </c>
      <c r="O138" s="77">
        <f t="shared" ref="O138:P138" si="64">SUM(O139:O141)</f>
        <v>-36171.040000000001</v>
      </c>
      <c r="P138" s="77">
        <f t="shared" si="64"/>
        <v>-10503.66</v>
      </c>
      <c r="Q138" s="77">
        <f>SUM(Q139:Q141)</f>
        <v>-34479.129999999997</v>
      </c>
      <c r="R138" s="77">
        <f>SUM(R139:R141)</f>
        <v>-68958.259999999995</v>
      </c>
      <c r="S138" s="271">
        <f>N138-R138</f>
        <v>18958.259999999995</v>
      </c>
      <c r="T138" s="70">
        <f>E138-L138</f>
        <v>-2322.429999999993</v>
      </c>
      <c r="U138" s="70"/>
      <c r="V138" s="70"/>
      <c r="W138" s="70"/>
      <c r="X138" s="70"/>
      <c r="Y138" s="755"/>
      <c r="Z138" s="70">
        <f>E138-L139-L140</f>
        <v>-14314.089999999997</v>
      </c>
    </row>
    <row r="139" spans="1:26" x14ac:dyDescent="0.25">
      <c r="A139" s="32" t="s">
        <v>366</v>
      </c>
      <c r="B139" s="6" t="s">
        <v>27</v>
      </c>
      <c r="C139" s="6" t="s">
        <v>367</v>
      </c>
      <c r="D139" s="32" t="s">
        <v>368</v>
      </c>
      <c r="E139" s="33">
        <v>-25000</v>
      </c>
      <c r="F139" s="33">
        <v>-21873.77</v>
      </c>
      <c r="G139" s="33">
        <v>-9919.16</v>
      </c>
      <c r="H139" s="33">
        <v>0</v>
      </c>
      <c r="I139" s="33">
        <v>-9919.16</v>
      </c>
      <c r="J139" s="33">
        <f>L139*0.5</f>
        <v>-10309.58</v>
      </c>
      <c r="K139" s="33">
        <v>-9919.16</v>
      </c>
      <c r="L139" s="127">
        <f>K139-10700</f>
        <v>-20619.16</v>
      </c>
      <c r="M139" s="128">
        <v>-25000</v>
      </c>
      <c r="N139" s="477">
        <v>-25000</v>
      </c>
      <c r="O139" s="466">
        <v>-11410.96</v>
      </c>
      <c r="P139" s="466">
        <v>-10503.66</v>
      </c>
      <c r="Q139" s="473">
        <f>R139/2</f>
        <v>-15501.83</v>
      </c>
      <c r="R139" s="477">
        <f>-13500-10503.66-7000</f>
        <v>-31003.66</v>
      </c>
      <c r="S139" s="276">
        <f>28000+N139</f>
        <v>3000</v>
      </c>
      <c r="T139" s="161" t="s">
        <v>752</v>
      </c>
      <c r="U139" s="161"/>
      <c r="V139" s="161"/>
      <c r="W139" s="161"/>
      <c r="X139" s="161"/>
      <c r="Y139" s="755"/>
      <c r="Z139" s="70"/>
    </row>
    <row r="140" spans="1:26" x14ac:dyDescent="0.25">
      <c r="A140" s="37" t="s">
        <v>369</v>
      </c>
      <c r="B140" s="6" t="s">
        <v>27</v>
      </c>
      <c r="C140" s="6" t="s">
        <v>370</v>
      </c>
      <c r="D140" s="162" t="s">
        <v>371</v>
      </c>
      <c r="E140" s="33">
        <v>-25000</v>
      </c>
      <c r="F140" s="33">
        <v>-23677.67</v>
      </c>
      <c r="G140" s="33">
        <v>0</v>
      </c>
      <c r="H140" s="33">
        <v>0</v>
      </c>
      <c r="I140" s="33">
        <f>-7906.75</f>
        <v>-7906.75</v>
      </c>
      <c r="J140" s="33">
        <f>L140*0.5</f>
        <v>-10033.375</v>
      </c>
      <c r="K140" s="33">
        <v>-7906.75</v>
      </c>
      <c r="L140" s="127">
        <v>-20066.75</v>
      </c>
      <c r="M140" s="128">
        <v>-20000</v>
      </c>
      <c r="N140" s="128">
        <v>-20000</v>
      </c>
      <c r="O140" s="128">
        <v>-24760.080000000002</v>
      </c>
      <c r="P140" s="128">
        <v>0</v>
      </c>
      <c r="Q140" s="128">
        <f>R140/2</f>
        <v>-9977.2999999999993</v>
      </c>
      <c r="R140" s="128">
        <v>-19954.599999999999</v>
      </c>
      <c r="S140" s="308" t="s">
        <v>949</v>
      </c>
      <c r="Y140" s="755"/>
    </row>
    <row r="141" spans="1:26" x14ac:dyDescent="0.25">
      <c r="A141" s="51" t="s">
        <v>372</v>
      </c>
      <c r="B141" s="42" t="s">
        <v>27</v>
      </c>
      <c r="C141" s="42" t="s">
        <v>373</v>
      </c>
      <c r="D141" s="51" t="s">
        <v>374</v>
      </c>
      <c r="E141" s="52">
        <v>-5000</v>
      </c>
      <c r="F141" s="52">
        <v>-5000</v>
      </c>
      <c r="G141" s="52">
        <v>0</v>
      </c>
      <c r="H141" s="52">
        <v>0</v>
      </c>
      <c r="I141" s="246">
        <v>0</v>
      </c>
      <c r="J141" s="52">
        <f>L141*0.5</f>
        <v>-5995.83</v>
      </c>
      <c r="K141" s="52">
        <v>0</v>
      </c>
      <c r="L141" s="131">
        <f>-5000-2968.45-4023.21</f>
        <v>-11991.66</v>
      </c>
      <c r="M141" s="155">
        <v>-5000</v>
      </c>
      <c r="N141" s="156">
        <v>-5000</v>
      </c>
      <c r="O141" s="156">
        <v>0</v>
      </c>
      <c r="P141" s="156">
        <v>0</v>
      </c>
      <c r="Q141" s="128">
        <f>R141/2</f>
        <v>-9000</v>
      </c>
      <c r="R141" s="330">
        <v>-18000</v>
      </c>
      <c r="S141" s="308"/>
      <c r="Y141" s="755"/>
    </row>
    <row r="142" spans="1:26" x14ac:dyDescent="0.25">
      <c r="A142" s="39" t="s">
        <v>375</v>
      </c>
      <c r="B142" s="40"/>
      <c r="C142" s="40"/>
      <c r="D142" s="39" t="s">
        <v>376</v>
      </c>
      <c r="E142" s="77">
        <f t="shared" ref="E142:M142" si="65">SUM(E143:E149)</f>
        <v>-160734.5</v>
      </c>
      <c r="F142" s="77">
        <f t="shared" si="65"/>
        <v>-147233.26</v>
      </c>
      <c r="G142" s="77">
        <f t="shared" si="65"/>
        <v>-63971.6</v>
      </c>
      <c r="H142" s="77">
        <f t="shared" si="65"/>
        <v>-28783</v>
      </c>
      <c r="I142" s="245">
        <f>SUM(I143:I149)</f>
        <v>-65592.600000000006</v>
      </c>
      <c r="J142" s="77">
        <f t="shared" si="65"/>
        <v>-89344.774999999994</v>
      </c>
      <c r="K142" s="77">
        <f t="shared" si="65"/>
        <v>-65592.600000000006</v>
      </c>
      <c r="L142" s="157">
        <f>SUM(L143:L149)</f>
        <v>-178689.55</v>
      </c>
      <c r="M142" s="77">
        <f t="shared" si="65"/>
        <v>-137000</v>
      </c>
      <c r="N142" s="77">
        <f>SUM(N143:N149)</f>
        <v>-124000</v>
      </c>
      <c r="O142" s="77">
        <f t="shared" ref="O142:P142" si="66">SUM(O143:O149)</f>
        <v>-126015.56000000001</v>
      </c>
      <c r="P142" s="77">
        <f t="shared" si="66"/>
        <v>-40645.040000000001</v>
      </c>
      <c r="Q142" s="77">
        <f>SUM(Q143:Q149)</f>
        <v>-42354.270000000004</v>
      </c>
      <c r="R142" s="77">
        <f>SUM(R143:R149)</f>
        <v>-84708.540000000008</v>
      </c>
      <c r="S142" s="271">
        <f>N142-R142</f>
        <v>-39291.459999999992</v>
      </c>
      <c r="T142" s="70">
        <f>E142-L142</f>
        <v>17955.049999999988</v>
      </c>
      <c r="U142" s="70"/>
      <c r="V142" s="70"/>
      <c r="W142" s="70"/>
      <c r="X142" s="70"/>
      <c r="Y142" s="755"/>
      <c r="Z142" s="70">
        <f>E142-L143-L144-L145-L146-L147-L148</f>
        <v>-10020.290000000008</v>
      </c>
    </row>
    <row r="143" spans="1:26" x14ac:dyDescent="0.25">
      <c r="A143" s="32" t="s">
        <v>377</v>
      </c>
      <c r="B143" s="6" t="s">
        <v>27</v>
      </c>
      <c r="C143" s="6" t="s">
        <v>378</v>
      </c>
      <c r="D143" s="32" t="s">
        <v>379</v>
      </c>
      <c r="E143" s="33">
        <v>-43500</v>
      </c>
      <c r="F143" s="33">
        <v>-43308.94</v>
      </c>
      <c r="G143" s="33">
        <v>-16195.76</v>
      </c>
      <c r="H143" s="33">
        <v>0</v>
      </c>
      <c r="I143" s="33">
        <v>-16195.76</v>
      </c>
      <c r="J143" s="33">
        <f t="shared" ref="J143:J149" si="67">L143*0.5</f>
        <v>-21542.855</v>
      </c>
      <c r="K143" s="33">
        <v>-16195.76</v>
      </c>
      <c r="L143" s="127">
        <v>-43085.71</v>
      </c>
      <c r="M143" s="128">
        <v>-44000</v>
      </c>
      <c r="N143" s="128">
        <v>-44000</v>
      </c>
      <c r="O143" s="128">
        <v>-43427.6</v>
      </c>
      <c r="P143" s="128">
        <v>-15085.4</v>
      </c>
      <c r="Q143" s="128">
        <f t="shared" ref="Q143:Q149" si="68">R143/2</f>
        <v>-9958.52</v>
      </c>
      <c r="R143" s="128">
        <f>-19917.04</f>
        <v>-19917.04</v>
      </c>
      <c r="S143" s="308" t="s">
        <v>1007</v>
      </c>
      <c r="T143" s="137"/>
      <c r="U143" s="137"/>
      <c r="V143" s="137"/>
      <c r="W143" s="137"/>
      <c r="X143" s="137"/>
      <c r="Y143" s="755"/>
    </row>
    <row r="144" spans="1:26" x14ac:dyDescent="0.25">
      <c r="A144" s="37" t="s">
        <v>380</v>
      </c>
      <c r="B144" s="6" t="s">
        <v>27</v>
      </c>
      <c r="C144" s="6" t="s">
        <v>381</v>
      </c>
      <c r="D144" s="37" t="s">
        <v>382</v>
      </c>
      <c r="E144" s="33">
        <v>-39600</v>
      </c>
      <c r="F144" s="33">
        <v>-39506.92</v>
      </c>
      <c r="G144" s="33">
        <v>-12097.44</v>
      </c>
      <c r="H144" s="33">
        <v>0</v>
      </c>
      <c r="I144" s="33">
        <v>-12097.44</v>
      </c>
      <c r="J144" s="33">
        <f t="shared" si="67"/>
        <v>-19000</v>
      </c>
      <c r="K144" s="33">
        <v>-12097.44</v>
      </c>
      <c r="L144" s="127">
        <v>-38000</v>
      </c>
      <c r="M144" s="128">
        <v>-40000</v>
      </c>
      <c r="N144" s="128">
        <v>-40000</v>
      </c>
      <c r="O144" s="128">
        <v>-39615.160000000003</v>
      </c>
      <c r="P144" s="128">
        <v>-13580.54</v>
      </c>
      <c r="Q144" s="128">
        <f t="shared" si="68"/>
        <v>-9748.4750000000004</v>
      </c>
      <c r="R144" s="128">
        <v>-19496.95</v>
      </c>
      <c r="S144" s="308" t="s">
        <v>948</v>
      </c>
      <c r="Y144" s="755"/>
    </row>
    <row r="145" spans="1:27" x14ac:dyDescent="0.25">
      <c r="A145" s="32" t="s">
        <v>383</v>
      </c>
      <c r="B145" s="6" t="s">
        <v>27</v>
      </c>
      <c r="C145" s="6" t="s">
        <v>384</v>
      </c>
      <c r="D145" s="163" t="s">
        <v>385</v>
      </c>
      <c r="E145" s="33">
        <v>-16500</v>
      </c>
      <c r="F145" s="33">
        <v>-16595</v>
      </c>
      <c r="G145" s="33">
        <v>-6750</v>
      </c>
      <c r="H145" s="33">
        <v>-6750</v>
      </c>
      <c r="I145" s="33">
        <v>-6750</v>
      </c>
      <c r="J145" s="33">
        <f t="shared" si="67"/>
        <v>-8165</v>
      </c>
      <c r="K145" s="33">
        <v>-6750</v>
      </c>
      <c r="L145" s="127">
        <v>-16330</v>
      </c>
      <c r="M145" s="128">
        <v>-17000</v>
      </c>
      <c r="N145" s="128">
        <f>-5000-12000/2</f>
        <v>-11000</v>
      </c>
      <c r="O145" s="128">
        <v>-4950</v>
      </c>
      <c r="P145" s="128">
        <v>-4950</v>
      </c>
      <c r="Q145" s="128">
        <f t="shared" si="68"/>
        <v>-2475</v>
      </c>
      <c r="R145" s="128">
        <f>-4950</f>
        <v>-4950</v>
      </c>
      <c r="S145" s="308" t="s">
        <v>1006</v>
      </c>
      <c r="T145" s="161" t="s">
        <v>753</v>
      </c>
      <c r="U145" s="161"/>
      <c r="V145" s="161"/>
      <c r="W145" s="161"/>
      <c r="X145" s="161"/>
      <c r="Y145" s="755"/>
    </row>
    <row r="146" spans="1:27" x14ac:dyDescent="0.25">
      <c r="A146" s="37" t="s">
        <v>386</v>
      </c>
      <c r="B146" s="6" t="s">
        <v>27</v>
      </c>
      <c r="C146" s="6" t="s">
        <v>387</v>
      </c>
      <c r="D146" s="37" t="s">
        <v>388</v>
      </c>
      <c r="E146" s="33">
        <v>-20000</v>
      </c>
      <c r="F146" s="33">
        <v>-17903.27</v>
      </c>
      <c r="G146" s="33">
        <v>-14300</v>
      </c>
      <c r="H146" s="33">
        <v>-14300</v>
      </c>
      <c r="I146" s="33">
        <f>-14300</f>
        <v>-14300</v>
      </c>
      <c r="J146" s="33">
        <f t="shared" si="67"/>
        <v>-15800</v>
      </c>
      <c r="K146" s="33">
        <v>-14300</v>
      </c>
      <c r="L146" s="127">
        <f>H146-17300</f>
        <v>-31600</v>
      </c>
      <c r="M146" s="128">
        <v>-10000</v>
      </c>
      <c r="N146" s="128">
        <v>-10000</v>
      </c>
      <c r="O146" s="128">
        <v>-20100</v>
      </c>
      <c r="P146" s="128">
        <v>-4300</v>
      </c>
      <c r="Q146" s="128">
        <f t="shared" si="68"/>
        <v>-4300</v>
      </c>
      <c r="R146" s="128">
        <f>P146*2</f>
        <v>-8600</v>
      </c>
      <c r="S146" s="308" t="s">
        <v>954</v>
      </c>
      <c r="Y146" s="755"/>
    </row>
    <row r="147" spans="1:27" x14ac:dyDescent="0.25">
      <c r="A147" s="32" t="s">
        <v>389</v>
      </c>
      <c r="B147" s="6" t="s">
        <v>27</v>
      </c>
      <c r="C147" s="6" t="s">
        <v>390</v>
      </c>
      <c r="D147" s="163" t="s">
        <v>391</v>
      </c>
      <c r="E147" s="33">
        <v>-13634.5</v>
      </c>
      <c r="F147" s="33">
        <v>-13603.93</v>
      </c>
      <c r="G147" s="33">
        <v>-6895.4</v>
      </c>
      <c r="H147" s="33">
        <v>0</v>
      </c>
      <c r="I147" s="33">
        <v>-6895.4</v>
      </c>
      <c r="J147" s="33">
        <f t="shared" si="67"/>
        <v>-6817.25</v>
      </c>
      <c r="K147" s="33">
        <v>-6895.4</v>
      </c>
      <c r="L147" s="127">
        <f>-9057.9-4576.6</f>
        <v>-13634.5</v>
      </c>
      <c r="M147" s="128">
        <v>-14000</v>
      </c>
      <c r="N147" s="215">
        <v>-7000</v>
      </c>
      <c r="O147" s="215">
        <v>-10030.92</v>
      </c>
      <c r="P147" s="215">
        <v>-2010.6</v>
      </c>
      <c r="Q147" s="215">
        <f t="shared" si="68"/>
        <v>-3872.2749999999996</v>
      </c>
      <c r="R147" s="215">
        <f>-2515.6-400-4528.95-300</f>
        <v>-7744.5499999999993</v>
      </c>
      <c r="S147" s="308" t="s">
        <v>1008</v>
      </c>
      <c r="T147" s="161"/>
      <c r="U147" s="161"/>
      <c r="V147" s="161"/>
      <c r="W147" s="161"/>
      <c r="X147" s="161"/>
      <c r="Y147" s="755"/>
      <c r="AA147" s="137"/>
    </row>
    <row r="148" spans="1:27" x14ac:dyDescent="0.25">
      <c r="A148" s="37" t="s">
        <v>392</v>
      </c>
      <c r="B148" s="6" t="s">
        <v>27</v>
      </c>
      <c r="C148" s="6" t="s">
        <v>393</v>
      </c>
      <c r="D148" s="37" t="s">
        <v>394</v>
      </c>
      <c r="E148" s="33">
        <v>-7500</v>
      </c>
      <c r="F148" s="33">
        <v>-6660</v>
      </c>
      <c r="G148" s="33">
        <v>-1733</v>
      </c>
      <c r="H148" s="33">
        <v>-1733</v>
      </c>
      <c r="I148" s="33">
        <f>-1733-1621</f>
        <v>-3354</v>
      </c>
      <c r="J148" s="33">
        <f t="shared" si="67"/>
        <v>-4032</v>
      </c>
      <c r="K148" s="33">
        <v>-3354</v>
      </c>
      <c r="L148" s="127">
        <f>K148-4710</f>
        <v>-8064</v>
      </c>
      <c r="M148" s="128">
        <v>-7000</v>
      </c>
      <c r="N148" s="128">
        <v>-7000</v>
      </c>
      <c r="O148" s="128">
        <v>-7891.88</v>
      </c>
      <c r="P148" s="128">
        <v>-718.5</v>
      </c>
      <c r="Q148" s="128">
        <f t="shared" si="68"/>
        <v>-2000</v>
      </c>
      <c r="R148" s="128">
        <v>-4000</v>
      </c>
      <c r="S148" s="276"/>
      <c r="Y148" s="755"/>
    </row>
    <row r="149" spans="1:27" x14ac:dyDescent="0.25">
      <c r="A149" s="51" t="s">
        <v>395</v>
      </c>
      <c r="B149" s="42" t="s">
        <v>27</v>
      </c>
      <c r="C149" s="42" t="s">
        <v>396</v>
      </c>
      <c r="D149" s="51" t="s">
        <v>397</v>
      </c>
      <c r="E149" s="52">
        <v>-20000</v>
      </c>
      <c r="F149" s="52">
        <v>-9655.2000000000007</v>
      </c>
      <c r="G149" s="52">
        <v>-6000</v>
      </c>
      <c r="H149" s="52">
        <v>-6000</v>
      </c>
      <c r="I149" s="246">
        <f>-6000</f>
        <v>-6000</v>
      </c>
      <c r="J149" s="52">
        <f t="shared" si="67"/>
        <v>-13987.67</v>
      </c>
      <c r="K149" s="52">
        <v>-6000</v>
      </c>
      <c r="L149" s="131">
        <f>-9655.2-2655.8-15664.34</f>
        <v>-27975.34</v>
      </c>
      <c r="M149" s="155">
        <v>-5000</v>
      </c>
      <c r="N149" s="156">
        <v>-5000</v>
      </c>
      <c r="O149" s="156">
        <v>0</v>
      </c>
      <c r="P149" s="156">
        <v>0</v>
      </c>
      <c r="Q149" s="128">
        <f t="shared" si="68"/>
        <v>-10000</v>
      </c>
      <c r="R149" s="330">
        <f>-20000</f>
        <v>-20000</v>
      </c>
      <c r="S149" s="308"/>
      <c r="Y149" s="755"/>
    </row>
    <row r="150" spans="1:27" x14ac:dyDescent="0.25">
      <c r="A150" s="39" t="s">
        <v>398</v>
      </c>
      <c r="B150" s="40"/>
      <c r="C150" s="40"/>
      <c r="D150" s="39" t="s">
        <v>399</v>
      </c>
      <c r="E150" s="41">
        <f t="shared" ref="E150:M150" si="69">E151</f>
        <v>-20000</v>
      </c>
      <c r="F150" s="41">
        <f t="shared" si="69"/>
        <v>-19305.52</v>
      </c>
      <c r="G150" s="41">
        <f t="shared" si="69"/>
        <v>-694.48</v>
      </c>
      <c r="H150" s="41">
        <f t="shared" si="69"/>
        <v>-694.48</v>
      </c>
      <c r="I150" s="238">
        <f t="shared" ref="I150" si="70">I151</f>
        <v>-694.48</v>
      </c>
      <c r="J150" s="41">
        <f t="shared" si="69"/>
        <v>-10000</v>
      </c>
      <c r="K150" s="41">
        <f t="shared" si="69"/>
        <v>-694.48</v>
      </c>
      <c r="L150" s="130">
        <f t="shared" si="69"/>
        <v>-20000</v>
      </c>
      <c r="M150" s="77">
        <f t="shared" si="69"/>
        <v>-5000</v>
      </c>
      <c r="N150" s="77">
        <f>N151</f>
        <v>-5000</v>
      </c>
      <c r="O150" s="77">
        <f t="shared" ref="O150:R150" si="71">O151</f>
        <v>0</v>
      </c>
      <c r="P150" s="77">
        <f t="shared" si="71"/>
        <v>0</v>
      </c>
      <c r="Q150" s="77">
        <f t="shared" si="71"/>
        <v>-2900.7249999999999</v>
      </c>
      <c r="R150" s="77">
        <f t="shared" si="71"/>
        <v>-5801.45</v>
      </c>
      <c r="S150" s="271">
        <f>N150-R150</f>
        <v>801.44999999999982</v>
      </c>
      <c r="T150" s="70">
        <f>E150-L150</f>
        <v>0</v>
      </c>
      <c r="U150" s="70"/>
      <c r="V150" s="70"/>
      <c r="W150" s="70"/>
      <c r="X150" s="70"/>
      <c r="Y150" s="755"/>
      <c r="Z150" s="70">
        <f>E150</f>
        <v>-20000</v>
      </c>
    </row>
    <row r="151" spans="1:27" x14ac:dyDescent="0.25">
      <c r="A151" s="51" t="s">
        <v>400</v>
      </c>
      <c r="B151" s="42" t="s">
        <v>27</v>
      </c>
      <c r="C151" s="42" t="s">
        <v>401</v>
      </c>
      <c r="D151" s="51" t="s">
        <v>402</v>
      </c>
      <c r="E151" s="52">
        <v>-20000</v>
      </c>
      <c r="F151" s="52">
        <v>-19305.52</v>
      </c>
      <c r="G151" s="52">
        <v>-694.48</v>
      </c>
      <c r="H151" s="52">
        <v>-694.48</v>
      </c>
      <c r="I151" s="246">
        <v>-694.48</v>
      </c>
      <c r="J151" s="52">
        <f>L151*0.5</f>
        <v>-10000</v>
      </c>
      <c r="K151" s="52">
        <v>-694.48</v>
      </c>
      <c r="L151" s="131">
        <f>-19305.52-694.48</f>
        <v>-20000</v>
      </c>
      <c r="M151" s="155">
        <v>-5000</v>
      </c>
      <c r="N151" s="156">
        <v>-5000</v>
      </c>
      <c r="O151" s="156">
        <v>0</v>
      </c>
      <c r="P151" s="156">
        <v>0</v>
      </c>
      <c r="Q151" s="128">
        <f>R151/2</f>
        <v>-2900.7249999999999</v>
      </c>
      <c r="R151" s="330">
        <f>-5000-801.45</f>
        <v>-5801.45</v>
      </c>
      <c r="S151" s="308"/>
      <c r="Y151" s="755"/>
    </row>
    <row r="152" spans="1:27" x14ac:dyDescent="0.25">
      <c r="A152" s="39" t="s">
        <v>403</v>
      </c>
      <c r="B152" s="40"/>
      <c r="C152" s="40"/>
      <c r="D152" s="39" t="s">
        <v>404</v>
      </c>
      <c r="E152" s="41">
        <f t="shared" ref="E152:M152" si="72">SUM(E153:E155)</f>
        <v>-17500</v>
      </c>
      <c r="F152" s="41">
        <f t="shared" si="72"/>
        <v>-1365.5</v>
      </c>
      <c r="G152" s="41">
        <f t="shared" si="72"/>
        <v>0</v>
      </c>
      <c r="H152" s="41">
        <f t="shared" si="72"/>
        <v>0</v>
      </c>
      <c r="I152" s="130">
        <f>SUM(I153:I155)</f>
        <v>0</v>
      </c>
      <c r="J152" s="130">
        <f t="shared" si="72"/>
        <v>-11317.49</v>
      </c>
      <c r="K152" s="130">
        <f t="shared" si="72"/>
        <v>0</v>
      </c>
      <c r="L152" s="130">
        <f>SUM(L153:L155)</f>
        <v>-22634.98</v>
      </c>
      <c r="M152" s="77">
        <f t="shared" si="72"/>
        <v>-10600</v>
      </c>
      <c r="N152" s="77">
        <f>SUM(N153:N155)</f>
        <v>-9900</v>
      </c>
      <c r="O152" s="77">
        <f t="shared" ref="O152:P152" si="73">SUM(O153:O155)</f>
        <v>-12980.45</v>
      </c>
      <c r="P152" s="77">
        <f t="shared" si="73"/>
        <v>-5540.19</v>
      </c>
      <c r="Q152" s="77">
        <f>SUM(Q153:Q155)</f>
        <v>-5964.75</v>
      </c>
      <c r="R152" s="77">
        <f>SUM(R153:R155)</f>
        <v>-11929.5</v>
      </c>
      <c r="S152" s="271">
        <f>N152-R152</f>
        <v>2029.5</v>
      </c>
      <c r="T152" s="70">
        <f>E152-L152</f>
        <v>5134.9799999999996</v>
      </c>
      <c r="U152" s="70"/>
      <c r="V152" s="70"/>
      <c r="W152" s="70"/>
      <c r="X152" s="70"/>
      <c r="Y152" s="755"/>
      <c r="Z152" s="70">
        <f>E152-L153-L154</f>
        <v>-9200</v>
      </c>
    </row>
    <row r="153" spans="1:27" x14ac:dyDescent="0.25">
      <c r="A153" s="32" t="s">
        <v>405</v>
      </c>
      <c r="B153" s="6" t="s">
        <v>32</v>
      </c>
      <c r="C153" s="6" t="s">
        <v>406</v>
      </c>
      <c r="D153" s="32" t="s">
        <v>754</v>
      </c>
      <c r="E153" s="33">
        <v>-16000</v>
      </c>
      <c r="F153" s="33">
        <v>0</v>
      </c>
      <c r="G153" s="33">
        <v>0</v>
      </c>
      <c r="H153" s="33">
        <v>0</v>
      </c>
      <c r="I153" s="33"/>
      <c r="J153" s="33">
        <f>L153*0.5</f>
        <v>-4150</v>
      </c>
      <c r="K153" s="33">
        <v>0</v>
      </c>
      <c r="L153" s="127">
        <v>-8300</v>
      </c>
      <c r="M153" s="128">
        <v>-9000</v>
      </c>
      <c r="N153" s="128">
        <v>-8300</v>
      </c>
      <c r="O153" s="128">
        <v>-11022.45</v>
      </c>
      <c r="P153" s="318">
        <v>-5540.19</v>
      </c>
      <c r="Q153" s="128">
        <f>R153/2</f>
        <v>-4985.75</v>
      </c>
      <c r="R153" s="128">
        <f>P153-4431.31</f>
        <v>-9971.5</v>
      </c>
      <c r="S153" s="269"/>
      <c r="Y153" s="755"/>
    </row>
    <row r="154" spans="1:27" hidden="1" x14ac:dyDescent="0.25">
      <c r="A154" s="32"/>
      <c r="B154" s="310" t="s">
        <v>32</v>
      </c>
      <c r="C154" s="310" t="s">
        <v>408</v>
      </c>
      <c r="D154" s="313" t="s">
        <v>409</v>
      </c>
      <c r="E154" s="33">
        <v>0</v>
      </c>
      <c r="F154" s="33">
        <v>0</v>
      </c>
      <c r="G154" s="33">
        <v>0</v>
      </c>
      <c r="H154" s="33">
        <v>0</v>
      </c>
      <c r="I154" s="33"/>
      <c r="J154" s="33">
        <v>0</v>
      </c>
      <c r="K154" s="33">
        <v>0</v>
      </c>
      <c r="L154" s="127">
        <v>0</v>
      </c>
      <c r="M154" s="128">
        <v>0</v>
      </c>
      <c r="N154" s="312">
        <v>0</v>
      </c>
      <c r="O154" s="312">
        <v>0</v>
      </c>
      <c r="P154" s="312">
        <v>0</v>
      </c>
      <c r="Q154" s="128">
        <f>R154/2</f>
        <v>0</v>
      </c>
      <c r="R154" s="312">
        <v>0</v>
      </c>
      <c r="S154" s="269"/>
      <c r="T154" t="s">
        <v>410</v>
      </c>
      <c r="Y154" s="755"/>
    </row>
    <row r="155" spans="1:27" x14ac:dyDescent="0.25">
      <c r="A155" s="51" t="s">
        <v>411</v>
      </c>
      <c r="B155" s="42" t="s">
        <v>32</v>
      </c>
      <c r="C155" s="42" t="s">
        <v>412</v>
      </c>
      <c r="D155" s="51" t="s">
        <v>413</v>
      </c>
      <c r="E155" s="52">
        <v>-1500</v>
      </c>
      <c r="F155" s="52">
        <v>-1365.5</v>
      </c>
      <c r="G155" s="52">
        <v>0</v>
      </c>
      <c r="H155" s="52">
        <v>0</v>
      </c>
      <c r="I155" s="247"/>
      <c r="J155" s="52">
        <f>L155*0.5</f>
        <v>-7167.49</v>
      </c>
      <c r="K155" s="52">
        <v>0</v>
      </c>
      <c r="L155" s="131">
        <f>-1600-3500-9234.98</f>
        <v>-14334.98</v>
      </c>
      <c r="M155" s="132">
        <v>-1600</v>
      </c>
      <c r="N155" s="132">
        <v>-1600</v>
      </c>
      <c r="O155" s="132">
        <v>-1958</v>
      </c>
      <c r="P155" s="132">
        <v>0</v>
      </c>
      <c r="Q155" s="128">
        <f>R155/2</f>
        <v>-979</v>
      </c>
      <c r="R155" s="132">
        <v>-1958</v>
      </c>
      <c r="S155" s="308" t="s">
        <v>955</v>
      </c>
      <c r="T155" s="70"/>
      <c r="U155" s="70"/>
      <c r="V155" s="70"/>
      <c r="W155" s="70"/>
      <c r="X155" s="70"/>
      <c r="Y155" s="755"/>
    </row>
    <row r="156" spans="1:27" x14ac:dyDescent="0.25">
      <c r="A156" s="39" t="s">
        <v>403</v>
      </c>
      <c r="B156" s="40"/>
      <c r="C156" s="40"/>
      <c r="D156" s="39" t="s">
        <v>1046</v>
      </c>
      <c r="E156" s="41">
        <f t="shared" ref="E156:M156" si="74">SUM(E162:E164)</f>
        <v>-593916.07999999996</v>
      </c>
      <c r="F156" s="41">
        <f t="shared" si="74"/>
        <v>-225095.05</v>
      </c>
      <c r="G156" s="41">
        <f t="shared" si="74"/>
        <v>-23360.57</v>
      </c>
      <c r="H156" s="41">
        <f t="shared" si="74"/>
        <v>-1455</v>
      </c>
      <c r="I156" s="130">
        <f>SUM(I162:I164)</f>
        <v>-33420.57</v>
      </c>
      <c r="J156" s="130">
        <f t="shared" si="74"/>
        <v>-203794.87</v>
      </c>
      <c r="K156" s="130">
        <f t="shared" si="74"/>
        <v>-33420.57</v>
      </c>
      <c r="L156" s="130">
        <f>SUM(L162:L164)</f>
        <v>-409189.74</v>
      </c>
      <c r="M156" s="77">
        <f t="shared" si="74"/>
        <v>-492371.76999999996</v>
      </c>
      <c r="N156" s="77">
        <f>SUM(N161)</f>
        <v>0</v>
      </c>
      <c r="O156" s="77">
        <f t="shared" ref="O156:R156" si="75">SUM(O161)</f>
        <v>0</v>
      </c>
      <c r="P156" s="77">
        <f t="shared" si="75"/>
        <v>-4396.3</v>
      </c>
      <c r="Q156" s="77">
        <f t="shared" si="75"/>
        <v>0</v>
      </c>
      <c r="R156" s="77">
        <f t="shared" si="75"/>
        <v>-9396.2999999999993</v>
      </c>
      <c r="S156" s="271">
        <f>N156-R156</f>
        <v>9396.2999999999993</v>
      </c>
      <c r="T156" s="70">
        <f>E156-L156</f>
        <v>-184726.33999999997</v>
      </c>
      <c r="U156" s="70"/>
      <c r="V156" s="70"/>
      <c r="W156" s="70"/>
      <c r="X156" s="70"/>
      <c r="Y156" s="1"/>
      <c r="Z156" s="70">
        <f>E156-L162-L163</f>
        <v>-184726.33999999997</v>
      </c>
    </row>
    <row r="157" spans="1:27" hidden="1" x14ac:dyDescent="0.25">
      <c r="A157" s="32" t="s">
        <v>405</v>
      </c>
      <c r="B157" s="199" t="s">
        <v>32</v>
      </c>
      <c r="C157" s="379" t="s">
        <v>997</v>
      </c>
      <c r="D157" s="380" t="s">
        <v>1000</v>
      </c>
      <c r="E157" s="445">
        <v>-16000</v>
      </c>
      <c r="F157" s="445">
        <v>0</v>
      </c>
      <c r="G157" s="445">
        <v>0</v>
      </c>
      <c r="H157" s="445">
        <v>0</v>
      </c>
      <c r="I157" s="445"/>
      <c r="J157" s="445">
        <f>L157*0.5</f>
        <v>-4150</v>
      </c>
      <c r="K157" s="445">
        <v>0</v>
      </c>
      <c r="L157" s="446">
        <v>-8300</v>
      </c>
      <c r="M157" s="447">
        <v>-9000</v>
      </c>
      <c r="N157" s="413">
        <v>0</v>
      </c>
      <c r="O157" s="413">
        <v>0</v>
      </c>
      <c r="P157" s="454">
        <v>0</v>
      </c>
      <c r="Q157" s="413">
        <v>0</v>
      </c>
      <c r="R157" s="455">
        <v>-2435</v>
      </c>
      <c r="S157" s="308" t="s">
        <v>1005</v>
      </c>
      <c r="Y157" s="1"/>
    </row>
    <row r="158" spans="1:27" hidden="1" x14ac:dyDescent="0.25">
      <c r="A158" s="32"/>
      <c r="B158" s="436"/>
      <c r="C158" s="386" t="s">
        <v>998</v>
      </c>
      <c r="D158" s="387" t="s">
        <v>1001</v>
      </c>
      <c r="E158" s="448">
        <v>0</v>
      </c>
      <c r="F158" s="448">
        <v>0</v>
      </c>
      <c r="G158" s="448">
        <v>0</v>
      </c>
      <c r="H158" s="448">
        <v>0</v>
      </c>
      <c r="I158" s="448"/>
      <c r="J158" s="448">
        <v>0</v>
      </c>
      <c r="K158" s="448">
        <v>0</v>
      </c>
      <c r="L158" s="449">
        <v>0</v>
      </c>
      <c r="M158" s="450">
        <v>0</v>
      </c>
      <c r="N158" s="393">
        <v>0</v>
      </c>
      <c r="O158" s="393">
        <v>0</v>
      </c>
      <c r="P158" s="393">
        <v>-19.18</v>
      </c>
      <c r="Q158" s="393">
        <v>0</v>
      </c>
      <c r="R158" s="456">
        <v>-15000</v>
      </c>
      <c r="S158" s="308" t="s">
        <v>1005</v>
      </c>
      <c r="T158" t="s">
        <v>410</v>
      </c>
      <c r="Y158" s="1"/>
    </row>
    <row r="159" spans="1:27" hidden="1" x14ac:dyDescent="0.25">
      <c r="A159" s="32"/>
      <c r="B159" s="436"/>
      <c r="C159" s="386" t="s">
        <v>999</v>
      </c>
      <c r="D159" s="387" t="s">
        <v>1003</v>
      </c>
      <c r="E159" s="448"/>
      <c r="F159" s="448"/>
      <c r="G159" s="448"/>
      <c r="H159" s="448"/>
      <c r="I159" s="448"/>
      <c r="J159" s="448"/>
      <c r="K159" s="448"/>
      <c r="L159" s="449"/>
      <c r="M159" s="450"/>
      <c r="N159" s="393">
        <v>0</v>
      </c>
      <c r="O159" s="393">
        <v>0</v>
      </c>
      <c r="P159" s="393">
        <v>0</v>
      </c>
      <c r="Q159" s="393">
        <v>0</v>
      </c>
      <c r="R159" s="456">
        <v>-500</v>
      </c>
      <c r="S159" s="308" t="s">
        <v>1005</v>
      </c>
      <c r="Y159" s="1"/>
    </row>
    <row r="160" spans="1:27" ht="15.75" hidden="1" thickBot="1" x14ac:dyDescent="0.3">
      <c r="A160" s="51" t="s">
        <v>411</v>
      </c>
      <c r="B160" s="437" t="s">
        <v>32</v>
      </c>
      <c r="C160" s="396" t="s">
        <v>1002</v>
      </c>
      <c r="D160" s="397" t="s">
        <v>1004</v>
      </c>
      <c r="E160" s="451">
        <v>-1500</v>
      </c>
      <c r="F160" s="451">
        <v>-1365.5</v>
      </c>
      <c r="G160" s="451">
        <v>0</v>
      </c>
      <c r="H160" s="451">
        <v>0</v>
      </c>
      <c r="I160" s="444"/>
      <c r="J160" s="451">
        <f>L160*0.5</f>
        <v>-7167.49</v>
      </c>
      <c r="K160" s="451">
        <v>0</v>
      </c>
      <c r="L160" s="452">
        <f>-1600-3500-9234.98</f>
        <v>-14334.98</v>
      </c>
      <c r="M160" s="453">
        <v>-1600</v>
      </c>
      <c r="N160" s="400">
        <v>0</v>
      </c>
      <c r="O160" s="400">
        <v>0</v>
      </c>
      <c r="P160" s="400">
        <v>0</v>
      </c>
      <c r="Q160" s="400">
        <v>0</v>
      </c>
      <c r="R160" s="457">
        <v>-400</v>
      </c>
      <c r="S160" s="308" t="s">
        <v>1005</v>
      </c>
      <c r="T160" s="70"/>
      <c r="U160" s="70"/>
      <c r="V160" s="70"/>
      <c r="W160" s="70"/>
      <c r="X160" s="70"/>
      <c r="Y160" s="1"/>
    </row>
    <row r="161" spans="1:30" x14ac:dyDescent="0.25">
      <c r="A161" s="51"/>
      <c r="B161" s="42"/>
      <c r="C161" s="438" t="s">
        <v>1042</v>
      </c>
      <c r="D161" s="439" t="s">
        <v>1043</v>
      </c>
      <c r="E161" s="440"/>
      <c r="F161" s="440"/>
      <c r="G161" s="440"/>
      <c r="H161" s="440"/>
      <c r="I161" s="441"/>
      <c r="J161" s="440"/>
      <c r="K161" s="440"/>
      <c r="L161" s="442"/>
      <c r="M161" s="443"/>
      <c r="N161" s="443">
        <v>0</v>
      </c>
      <c r="O161" s="443">
        <v>0</v>
      </c>
      <c r="P161" s="443">
        <v>-4396.3</v>
      </c>
      <c r="Q161" s="443"/>
      <c r="R161" s="465">
        <f>P161-5000</f>
        <v>-9396.2999999999993</v>
      </c>
      <c r="S161" s="308" t="s">
        <v>1062</v>
      </c>
      <c r="T161" s="70"/>
      <c r="U161" s="70"/>
      <c r="V161" s="70"/>
      <c r="W161" s="70"/>
      <c r="X161" s="70"/>
      <c r="Y161" s="1"/>
    </row>
    <row r="162" spans="1:30" x14ac:dyDescent="0.25">
      <c r="A162" s="26" t="s">
        <v>415</v>
      </c>
      <c r="B162" s="27"/>
      <c r="C162" s="27"/>
      <c r="D162" s="26" t="s">
        <v>416</v>
      </c>
      <c r="E162" s="38">
        <f t="shared" ref="E162:M162" si="76">E163+E165+E171</f>
        <v>-295853.48</v>
      </c>
      <c r="F162" s="38">
        <f t="shared" si="76"/>
        <v>-225095.05</v>
      </c>
      <c r="G162" s="38">
        <f t="shared" si="76"/>
        <v>-23360.57</v>
      </c>
      <c r="H162" s="38">
        <f t="shared" si="76"/>
        <v>-1455</v>
      </c>
      <c r="I162" s="237">
        <f t="shared" si="76"/>
        <v>-33420.57</v>
      </c>
      <c r="J162" s="38">
        <f t="shared" si="76"/>
        <v>-203794.87</v>
      </c>
      <c r="K162" s="38">
        <f t="shared" si="76"/>
        <v>-33420.57</v>
      </c>
      <c r="L162" s="134">
        <f t="shared" si="76"/>
        <v>-409189.74</v>
      </c>
      <c r="M162" s="135">
        <f t="shared" si="76"/>
        <v>-388049.86</v>
      </c>
      <c r="N162" s="468">
        <f>N163+N165+N171</f>
        <v>-581790.55000000005</v>
      </c>
      <c r="O162" s="468">
        <f t="shared" ref="O162:Q162" si="77">O163+O165+O171</f>
        <v>-379392.24</v>
      </c>
      <c r="P162" s="468">
        <f t="shared" si="77"/>
        <v>-102556.32</v>
      </c>
      <c r="Q162" s="468">
        <f t="shared" si="77"/>
        <v>-204569.34</v>
      </c>
      <c r="R162" s="468">
        <f>R163+R165+R171</f>
        <v>-409138.68</v>
      </c>
      <c r="S162" s="270">
        <f>N162-R162</f>
        <v>-172651.87000000005</v>
      </c>
      <c r="AA162" s="137"/>
    </row>
    <row r="163" spans="1:30" x14ac:dyDescent="0.25">
      <c r="A163" s="39" t="s">
        <v>417</v>
      </c>
      <c r="B163" s="40"/>
      <c r="C163" s="40"/>
      <c r="D163" s="39" t="s">
        <v>418</v>
      </c>
      <c r="E163" s="82">
        <f t="shared" ref="E163:L163" si="78">E164</f>
        <v>-149031.29999999999</v>
      </c>
      <c r="F163" s="82">
        <f t="shared" si="78"/>
        <v>0</v>
      </c>
      <c r="G163" s="82">
        <f t="shared" si="78"/>
        <v>0</v>
      </c>
      <c r="H163" s="82">
        <f t="shared" si="78"/>
        <v>0</v>
      </c>
      <c r="I163" s="248">
        <f>I166</f>
        <v>0</v>
      </c>
      <c r="J163" s="82">
        <f t="shared" si="78"/>
        <v>0</v>
      </c>
      <c r="K163" s="82">
        <f t="shared" si="78"/>
        <v>0</v>
      </c>
      <c r="L163" s="130">
        <f t="shared" si="78"/>
        <v>0</v>
      </c>
      <c r="M163" s="77">
        <f>M164+M166</f>
        <v>-104321.90999999999</v>
      </c>
      <c r="N163" s="77">
        <f>N164</f>
        <v>-149031.29999999999</v>
      </c>
      <c r="O163" s="77">
        <f t="shared" ref="O163:Q163" si="79">O164</f>
        <v>-47092.06</v>
      </c>
      <c r="P163" s="77">
        <f t="shared" si="79"/>
        <v>-6968</v>
      </c>
      <c r="Q163" s="77">
        <f t="shared" si="79"/>
        <v>-28030.03</v>
      </c>
      <c r="R163" s="77">
        <f>R164</f>
        <v>-56060.06</v>
      </c>
      <c r="S163" s="271">
        <f>S11</f>
        <v>156920.51299999992</v>
      </c>
    </row>
    <row r="164" spans="1:30" x14ac:dyDescent="0.25">
      <c r="A164" s="32"/>
      <c r="B164" s="6" t="s">
        <v>42</v>
      </c>
      <c r="C164" s="6" t="s">
        <v>755</v>
      </c>
      <c r="D164" s="32" t="s">
        <v>728</v>
      </c>
      <c r="E164" s="33">
        <v>-149031.29999999999</v>
      </c>
      <c r="F164" s="33">
        <v>0</v>
      </c>
      <c r="G164" s="33">
        <v>0</v>
      </c>
      <c r="H164" s="33">
        <v>0</v>
      </c>
      <c r="I164" s="257"/>
      <c r="J164" s="33">
        <v>0</v>
      </c>
      <c r="K164" s="33">
        <v>0</v>
      </c>
      <c r="L164" s="127">
        <v>0</v>
      </c>
      <c r="M164" s="33">
        <v>0</v>
      </c>
      <c r="N164" s="33">
        <v>-149031.29999999999</v>
      </c>
      <c r="O164" s="33">
        <v>-47092.06</v>
      </c>
      <c r="P164" s="317">
        <v>-6968</v>
      </c>
      <c r="Q164" s="128">
        <f>R164/2</f>
        <v>-28030.03</v>
      </c>
      <c r="R164" s="33">
        <f>-47092.06-6968-2000</f>
        <v>-56060.06</v>
      </c>
      <c r="S164" s="308" t="s">
        <v>950</v>
      </c>
      <c r="T164" s="137"/>
      <c r="U164" s="137"/>
      <c r="V164" s="137"/>
      <c r="W164" s="137"/>
      <c r="X164" s="137"/>
    </row>
    <row r="165" spans="1:30" x14ac:dyDescent="0.25">
      <c r="A165" s="39" t="s">
        <v>420</v>
      </c>
      <c r="B165" s="40"/>
      <c r="C165" s="40"/>
      <c r="D165" s="39" t="s">
        <v>421</v>
      </c>
      <c r="E165" s="82">
        <f t="shared" ref="E165:J165" si="80">SUM(E167:E169)</f>
        <v>-146822.18</v>
      </c>
      <c r="F165" s="82">
        <f t="shared" si="80"/>
        <v>-93294.95</v>
      </c>
      <c r="G165" s="82">
        <f t="shared" si="80"/>
        <v>-23360.57</v>
      </c>
      <c r="H165" s="82">
        <f t="shared" si="80"/>
        <v>-1455</v>
      </c>
      <c r="I165" s="248">
        <f>SUM(I167:I170)</f>
        <v>-33420.57</v>
      </c>
      <c r="J165" s="82">
        <f t="shared" si="80"/>
        <v>-56260.02</v>
      </c>
      <c r="K165" s="82">
        <f>SUM(K167:K170)</f>
        <v>-33420.57</v>
      </c>
      <c r="L165" s="130">
        <f>SUM(L167:L170)</f>
        <v>-114120.04</v>
      </c>
      <c r="M165" s="77">
        <f>SUM(M167:M170)</f>
        <v>-30607.949999999997</v>
      </c>
      <c r="N165" s="77">
        <f>SUM(N166:N170)</f>
        <v>-179639.25</v>
      </c>
      <c r="O165" s="77">
        <f t="shared" ref="O165:P165" si="81">SUM(O166:O170)</f>
        <v>-97753.18</v>
      </c>
      <c r="P165" s="77">
        <f t="shared" si="81"/>
        <v>-17288.32</v>
      </c>
      <c r="Q165" s="77">
        <f>SUM(Q166:Q170)</f>
        <v>-59265.81</v>
      </c>
      <c r="R165" s="77">
        <f>SUM(R166:R170)</f>
        <v>-118531.62</v>
      </c>
      <c r="S165" s="271"/>
    </row>
    <row r="166" spans="1:30" x14ac:dyDescent="0.25">
      <c r="A166" s="32"/>
      <c r="B166" s="6" t="s">
        <v>42</v>
      </c>
      <c r="C166" s="6" t="s">
        <v>419</v>
      </c>
      <c r="D166" s="32" t="s">
        <v>44</v>
      </c>
      <c r="E166" s="33">
        <v>-149031.29999999999</v>
      </c>
      <c r="F166" s="127"/>
      <c r="G166" s="127"/>
      <c r="H166" s="127"/>
      <c r="I166" s="33"/>
      <c r="J166" s="127"/>
      <c r="K166" s="127"/>
      <c r="L166" s="127">
        <v>0</v>
      </c>
      <c r="M166" s="33">
        <f>-149031.3*0.7</f>
        <v>-104321.90999999999</v>
      </c>
      <c r="N166" s="33">
        <v>-149031.29999999999</v>
      </c>
      <c r="O166" s="33">
        <v>-33592.89</v>
      </c>
      <c r="P166" s="317">
        <v>0</v>
      </c>
      <c r="Q166" s="128">
        <f>R166/2</f>
        <v>-40250</v>
      </c>
      <c r="R166" s="33">
        <f>-77000-3500</f>
        <v>-80500</v>
      </c>
      <c r="S166" s="308" t="s">
        <v>952</v>
      </c>
    </row>
    <row r="167" spans="1:30" x14ac:dyDescent="0.25">
      <c r="A167" s="32"/>
      <c r="B167" s="42" t="s">
        <v>48</v>
      </c>
      <c r="C167" s="6" t="s">
        <v>422</v>
      </c>
      <c r="D167" s="32" t="s">
        <v>50</v>
      </c>
      <c r="E167" s="33">
        <v>-100031.3</v>
      </c>
      <c r="F167" s="33">
        <v>-61125.440000000002</v>
      </c>
      <c r="G167" s="33">
        <v>-19455.32</v>
      </c>
      <c r="H167" s="33">
        <v>0</v>
      </c>
      <c r="I167" s="33">
        <f>-12499.92-6955.4</f>
        <v>-19455.32</v>
      </c>
      <c r="J167" s="33">
        <f>L167*0.5</f>
        <v>-35757.114999999998</v>
      </c>
      <c r="K167" s="33">
        <v>-19455.32</v>
      </c>
      <c r="L167" s="127">
        <f>-68514.23-3000</f>
        <v>-71514.23</v>
      </c>
      <c r="M167" s="128">
        <v>-26505.03</v>
      </c>
      <c r="N167" s="128">
        <v>-26505.03</v>
      </c>
      <c r="O167" s="128">
        <v>-59975.29</v>
      </c>
      <c r="P167" s="318">
        <v>-16203.32</v>
      </c>
      <c r="Q167" s="128">
        <f>R167/2</f>
        <v>-16909.169999999998</v>
      </c>
      <c r="R167" s="128">
        <f>-25325.17-8493.17</f>
        <v>-33818.339999999997</v>
      </c>
      <c r="S167" s="308" t="s">
        <v>926</v>
      </c>
    </row>
    <row r="168" spans="1:30" x14ac:dyDescent="0.25">
      <c r="A168" s="32" t="s">
        <v>424</v>
      </c>
      <c r="B168" s="6" t="s">
        <v>48</v>
      </c>
      <c r="C168" s="6" t="s">
        <v>425</v>
      </c>
      <c r="D168" s="32" t="s">
        <v>53</v>
      </c>
      <c r="E168" s="33">
        <v>-42750.3</v>
      </c>
      <c r="F168" s="33">
        <v>-25404.31</v>
      </c>
      <c r="G168" s="33">
        <v>-3785.25</v>
      </c>
      <c r="H168" s="33">
        <v>-1335</v>
      </c>
      <c r="I168" s="33">
        <f>-1335-8460-2450.25</f>
        <v>-12245.25</v>
      </c>
      <c r="J168" s="33">
        <f>L168*0.5</f>
        <v>-19310.404999999999</v>
      </c>
      <c r="K168" s="33">
        <v>-12245.25</v>
      </c>
      <c r="L168" s="127">
        <v>-38620.81</v>
      </c>
      <c r="M168" s="128">
        <v>-4102.92</v>
      </c>
      <c r="N168" s="128">
        <v>-4102.92</v>
      </c>
      <c r="O168" s="128">
        <v>-4185</v>
      </c>
      <c r="P168" s="317">
        <v>-1085</v>
      </c>
      <c r="Q168" s="128">
        <f>R168/2</f>
        <v>-2106.6400000000003</v>
      </c>
      <c r="R168" s="128">
        <f>-1085-3128.28</f>
        <v>-4213.2800000000007</v>
      </c>
      <c r="S168" s="308" t="s">
        <v>927</v>
      </c>
    </row>
    <row r="169" spans="1:30" hidden="1" x14ac:dyDescent="0.25">
      <c r="A169" s="37" t="s">
        <v>427</v>
      </c>
      <c r="B169" s="310" t="s">
        <v>48</v>
      </c>
      <c r="C169" s="310" t="s">
        <v>428</v>
      </c>
      <c r="D169" s="313" t="s">
        <v>56</v>
      </c>
      <c r="E169" s="314">
        <v>-4040.58</v>
      </c>
      <c r="F169" s="314">
        <v>-6765.2</v>
      </c>
      <c r="G169" s="314">
        <v>-120</v>
      </c>
      <c r="H169" s="314">
        <v>-120</v>
      </c>
      <c r="I169" s="314">
        <v>-120</v>
      </c>
      <c r="J169" s="314">
        <f>L169*0.5</f>
        <v>-1192.5</v>
      </c>
      <c r="K169" s="314">
        <v>-120</v>
      </c>
      <c r="L169" s="315">
        <f>-120-1970-295</f>
        <v>-2385</v>
      </c>
      <c r="M169" s="312">
        <v>0</v>
      </c>
      <c r="N169" s="312">
        <v>0</v>
      </c>
      <c r="O169" s="128">
        <v>0</v>
      </c>
      <c r="P169" s="128"/>
      <c r="Q169" s="128"/>
      <c r="R169" s="128"/>
      <c r="S169" s="269"/>
    </row>
    <row r="170" spans="1:30" hidden="1" x14ac:dyDescent="0.25">
      <c r="A170" s="37"/>
      <c r="B170" s="310" t="s">
        <v>48</v>
      </c>
      <c r="C170" s="310" t="s">
        <v>756</v>
      </c>
      <c r="D170" s="311" t="s">
        <v>429</v>
      </c>
      <c r="E170" s="315"/>
      <c r="F170" s="315"/>
      <c r="G170" s="315"/>
      <c r="H170" s="316">
        <f>-(1600+350)</f>
        <v>-1950</v>
      </c>
      <c r="I170" s="315">
        <v>-1600</v>
      </c>
      <c r="J170" s="316">
        <f>H170*0.5</f>
        <v>-975</v>
      </c>
      <c r="K170" s="315">
        <v>-1600</v>
      </c>
      <c r="L170" s="315">
        <v>-1600</v>
      </c>
      <c r="M170" s="312">
        <v>0</v>
      </c>
      <c r="N170" s="312">
        <v>0</v>
      </c>
      <c r="O170" s="128">
        <v>0</v>
      </c>
      <c r="P170" s="128"/>
      <c r="Q170" s="128"/>
      <c r="R170" s="128"/>
      <c r="S170" s="269"/>
    </row>
    <row r="171" spans="1:30" x14ac:dyDescent="0.25">
      <c r="A171" s="39" t="s">
        <v>430</v>
      </c>
      <c r="B171" s="40"/>
      <c r="C171" s="40"/>
      <c r="D171" s="39" t="s">
        <v>431</v>
      </c>
      <c r="E171" s="82">
        <f t="shared" ref="E171:P171" si="82">E172</f>
        <v>0</v>
      </c>
      <c r="F171" s="82">
        <f t="shared" si="82"/>
        <v>-131800.1</v>
      </c>
      <c r="G171" s="82">
        <f t="shared" si="82"/>
        <v>0</v>
      </c>
      <c r="H171" s="82">
        <f t="shared" si="82"/>
        <v>0</v>
      </c>
      <c r="I171" s="130">
        <f>I172</f>
        <v>0</v>
      </c>
      <c r="J171" s="130">
        <f t="shared" si="82"/>
        <v>-147534.85</v>
      </c>
      <c r="K171" s="130">
        <f t="shared" si="82"/>
        <v>0</v>
      </c>
      <c r="L171" s="130">
        <f>L172</f>
        <v>-295069.7</v>
      </c>
      <c r="M171" s="77">
        <f t="shared" si="82"/>
        <v>-253120</v>
      </c>
      <c r="N171" s="77">
        <f>N172</f>
        <v>-253120</v>
      </c>
      <c r="O171" s="77">
        <f t="shared" si="82"/>
        <v>-234547</v>
      </c>
      <c r="P171" s="77">
        <f t="shared" si="82"/>
        <v>-78300</v>
      </c>
      <c r="Q171" s="77">
        <f>Q172</f>
        <v>-117273.5</v>
      </c>
      <c r="R171" s="77">
        <f>R172</f>
        <v>-234547</v>
      </c>
      <c r="S171"/>
      <c r="Z171" s="331">
        <v>2023</v>
      </c>
    </row>
    <row r="172" spans="1:30" x14ac:dyDescent="0.25">
      <c r="A172" s="32" t="s">
        <v>432</v>
      </c>
      <c r="B172" s="6" t="s">
        <v>61</v>
      </c>
      <c r="C172" s="6" t="s">
        <v>433</v>
      </c>
      <c r="D172" s="32" t="s">
        <v>63</v>
      </c>
      <c r="E172" s="33">
        <v>0</v>
      </c>
      <c r="F172" s="33">
        <v>-131800.1</v>
      </c>
      <c r="G172" s="33">
        <v>0</v>
      </c>
      <c r="H172" s="33">
        <v>0</v>
      </c>
      <c r="I172" s="33">
        <v>0</v>
      </c>
      <c r="J172" s="33">
        <f>L172*0.5</f>
        <v>-147534.85</v>
      </c>
      <c r="K172" s="33">
        <v>0</v>
      </c>
      <c r="L172" s="127">
        <f>-(100697.6+31102.5+17968+145301.6+(144040*0)+(92600*0))</f>
        <v>-295069.7</v>
      </c>
      <c r="M172" s="128">
        <f>-((144040)+(92600*0.8))-35000</f>
        <v>-253120</v>
      </c>
      <c r="N172" s="215">
        <v>-253120</v>
      </c>
      <c r="O172" s="215">
        <v>-234547</v>
      </c>
      <c r="P172" s="467">
        <v>-78300</v>
      </c>
      <c r="Q172" s="215">
        <f>R172/2</f>
        <v>-117273.5</v>
      </c>
      <c r="R172" s="215">
        <f>-((90772.46)+(143774.54))</f>
        <v>-234547</v>
      </c>
      <c r="S172" s="308" t="s">
        <v>956</v>
      </c>
      <c r="Z172" s="63" t="s">
        <v>436</v>
      </c>
      <c r="AA172" s="87"/>
      <c r="AB172" s="64"/>
    </row>
    <row r="173" spans="1:30" x14ac:dyDescent="0.25">
      <c r="A173" s="26" t="s">
        <v>434</v>
      </c>
      <c r="B173" s="27"/>
      <c r="C173" s="27"/>
      <c r="D173" s="26" t="s">
        <v>435</v>
      </c>
      <c r="E173" s="38">
        <f t="shared" ref="E173:P173" si="83">SUM(E174:E175)</f>
        <v>-85000</v>
      </c>
      <c r="F173" s="38">
        <f t="shared" si="83"/>
        <v>-7598.14</v>
      </c>
      <c r="G173" s="38">
        <f t="shared" si="83"/>
        <v>-374.4</v>
      </c>
      <c r="H173" s="38">
        <f t="shared" si="83"/>
        <v>0</v>
      </c>
      <c r="I173" s="237">
        <f>SUM(I174:I175)</f>
        <v>374.4</v>
      </c>
      <c r="J173" s="38">
        <f t="shared" si="83"/>
        <v>-36792.588333333333</v>
      </c>
      <c r="K173" s="38">
        <f t="shared" si="83"/>
        <v>-374</v>
      </c>
      <c r="L173" s="134">
        <f>SUM(L174:L175)</f>
        <v>-73585.176666666666</v>
      </c>
      <c r="M173" s="135">
        <f t="shared" si="83"/>
        <v>-10000</v>
      </c>
      <c r="N173" s="135">
        <f>SUM(N174:N175)</f>
        <v>-10000</v>
      </c>
      <c r="O173" s="135">
        <f t="shared" si="83"/>
        <v>-17978.349999999999</v>
      </c>
      <c r="P173" s="135">
        <f t="shared" si="83"/>
        <v>-6607.98</v>
      </c>
      <c r="Q173" s="135">
        <f>SUM(Q174:Q175)</f>
        <v>-5080.82</v>
      </c>
      <c r="R173" s="135">
        <f>SUM(R174:R175)</f>
        <v>-10161.64</v>
      </c>
      <c r="S173" s="270"/>
      <c r="U173" s="331">
        <v>2024</v>
      </c>
      <c r="Y173" s="86">
        <f>E173-L173</f>
        <v>-11414.823333333334</v>
      </c>
      <c r="Z173" s="89" t="s">
        <v>442</v>
      </c>
      <c r="AA173" s="90">
        <v>5000</v>
      </c>
      <c r="AB173" s="91" t="s">
        <v>443</v>
      </c>
      <c r="AC173" s="297" t="s">
        <v>898</v>
      </c>
      <c r="AD173" s="298">
        <f>374.4+748.8</f>
        <v>1123.1999999999998</v>
      </c>
    </row>
    <row r="174" spans="1:30" x14ac:dyDescent="0.25">
      <c r="A174" s="32" t="s">
        <v>437</v>
      </c>
      <c r="B174" s="6" t="s">
        <v>438</v>
      </c>
      <c r="C174" s="6" t="s">
        <v>439</v>
      </c>
      <c r="D174" s="32" t="s">
        <v>440</v>
      </c>
      <c r="E174" s="33">
        <v>-70000</v>
      </c>
      <c r="F174" s="33">
        <v>-5518.14</v>
      </c>
      <c r="G174" s="33">
        <v>-374.4</v>
      </c>
      <c r="H174" s="33">
        <v>0</v>
      </c>
      <c r="I174" s="249">
        <v>374.4</v>
      </c>
      <c r="J174" s="33">
        <f>L174*0.5</f>
        <v>-35742.588333333333</v>
      </c>
      <c r="K174" s="33">
        <v>-374</v>
      </c>
      <c r="L174" s="294">
        <f>-SUM(AA173:AA185)</f>
        <v>-71485.176666666666</v>
      </c>
      <c r="M174" s="155">
        <v>-10000</v>
      </c>
      <c r="N174" s="156">
        <v>-10000</v>
      </c>
      <c r="O174" s="156">
        <v>-17978.349999999999</v>
      </c>
      <c r="P174" s="317">
        <v>-6607.98</v>
      </c>
      <c r="Q174" s="128">
        <f>R174/2</f>
        <v>-5080.82</v>
      </c>
      <c r="R174" s="156">
        <f>SUM(V176:V182)</f>
        <v>-10161.64</v>
      </c>
      <c r="S174" s="276"/>
      <c r="T174" t="s">
        <v>441</v>
      </c>
      <c r="U174" s="63" t="s">
        <v>436</v>
      </c>
      <c r="V174" s="87"/>
      <c r="W174" s="64"/>
      <c r="Z174" s="89" t="s">
        <v>446</v>
      </c>
      <c r="AA174" s="90">
        <v>4999.9799999999996</v>
      </c>
      <c r="AB174" s="91"/>
    </row>
    <row r="175" spans="1:30" hidden="1" x14ac:dyDescent="0.25">
      <c r="A175" s="32"/>
      <c r="B175" s="6" t="s">
        <v>438</v>
      </c>
      <c r="C175" s="310" t="s">
        <v>444</v>
      </c>
      <c r="D175" s="311" t="s">
        <v>445</v>
      </c>
      <c r="E175" s="33">
        <v>-15000</v>
      </c>
      <c r="F175" s="33">
        <v>-2080</v>
      </c>
      <c r="G175" s="33">
        <v>0</v>
      </c>
      <c r="H175" s="33">
        <v>0</v>
      </c>
      <c r="I175" s="249"/>
      <c r="J175" s="33">
        <f>L175*0.5</f>
        <v>-1050</v>
      </c>
      <c r="K175" s="33"/>
      <c r="L175" s="127">
        <v>-2100</v>
      </c>
      <c r="M175" s="128">
        <v>0</v>
      </c>
      <c r="N175" s="128"/>
      <c r="O175" s="128"/>
      <c r="P175" s="318"/>
      <c r="Q175" s="128"/>
      <c r="R175" s="128"/>
      <c r="S175" s="269"/>
      <c r="Z175" s="89" t="s">
        <v>449</v>
      </c>
      <c r="AA175" s="90">
        <v>5000</v>
      </c>
      <c r="AB175" s="91" t="s">
        <v>450</v>
      </c>
    </row>
    <row r="176" spans="1:30" x14ac:dyDescent="0.25">
      <c r="A176" s="26" t="s">
        <v>451</v>
      </c>
      <c r="B176" s="27"/>
      <c r="C176" s="27"/>
      <c r="D176" s="26" t="s">
        <v>452</v>
      </c>
      <c r="E176" s="38">
        <f t="shared" ref="E176:M176" si="84">SUM(E177:E179)</f>
        <v>-417019.38</v>
      </c>
      <c r="F176" s="38">
        <f t="shared" si="84"/>
        <v>-471529.15</v>
      </c>
      <c r="G176" s="38">
        <f t="shared" si="84"/>
        <v>-112533.62</v>
      </c>
      <c r="H176" s="38">
        <f t="shared" si="84"/>
        <v>-92815.74</v>
      </c>
      <c r="I176" s="237">
        <f>SUM(I177:I179)</f>
        <v>-123928.59999999992</v>
      </c>
      <c r="J176" s="38">
        <f t="shared" si="84"/>
        <v>-144268.345</v>
      </c>
      <c r="K176" s="38">
        <f t="shared" si="84"/>
        <v>-144323.66999999998</v>
      </c>
      <c r="L176" s="134">
        <f>SUM(L177:L179)</f>
        <v>-288536.69</v>
      </c>
      <c r="M176" s="135">
        <f t="shared" si="84"/>
        <v>-348035.97</v>
      </c>
      <c r="N176" s="135">
        <f>SUM(N177:N179)</f>
        <v>-348035.97</v>
      </c>
      <c r="O176" s="135">
        <f t="shared" ref="O176:Q176" si="85">SUM(O177:O179)</f>
        <v>-164439.98000000001</v>
      </c>
      <c r="P176" s="135">
        <f t="shared" si="85"/>
        <v>-112625.65</v>
      </c>
      <c r="Q176" s="135">
        <f t="shared" si="85"/>
        <v>-162083.5</v>
      </c>
      <c r="R176" s="135">
        <f>SUM(R177:R179)</f>
        <v>-324167</v>
      </c>
      <c r="S176" s="270"/>
      <c r="U176" s="66" t="s">
        <v>957</v>
      </c>
      <c r="V176" s="65">
        <v>-832</v>
      </c>
      <c r="W176" s="35" t="s">
        <v>964</v>
      </c>
      <c r="Z176" s="164" t="s">
        <v>453</v>
      </c>
      <c r="AA176" s="164">
        <v>21203.77</v>
      </c>
      <c r="AB176" s="164" t="s">
        <v>757</v>
      </c>
    </row>
    <row r="177" spans="1:29" x14ac:dyDescent="0.25">
      <c r="A177" s="32" t="s">
        <v>455</v>
      </c>
      <c r="B177" s="6" t="s">
        <v>123</v>
      </c>
      <c r="C177" s="6" t="s">
        <v>456</v>
      </c>
      <c r="D177" s="32" t="s">
        <v>457</v>
      </c>
      <c r="E177" s="33">
        <v>-325273.76</v>
      </c>
      <c r="F177" s="33">
        <v>-450000</v>
      </c>
      <c r="G177" s="33">
        <v>-109615.59</v>
      </c>
      <c r="H177" s="33">
        <v>-90153.27</v>
      </c>
      <c r="I177" s="33">
        <f>-90153.27-221.62-431.33-593.4-581.64-429.84-519-527.69-816.02-453.42-128.15-321.03-1082.96-446.22-622.83-471.79-331.79-415.31-959.52-294.23-497.58-279.33-340.08-476.51-300.16-399.09-725.2-238.94-619.67-695.79-688.61-206.27-2567.07-743.26-1036.97-90.82-475.44-99.25-212.97-79.76-41.64-114.32-120.44-159.98-132.21-117.51-168.63-151.18-125.18-103.78-443.31-200.45-124.85-220.01-51.37-262.12-252.7-398.62-215.33-203.31-277.79-272.62-56.97-331.06-200.06-57.4-130.28-279.26-285.38-93.67-293.9-104.82-319.68-158.34-82.15-113.3-106.72-149.03-209.14-97.39-114.82-413.11-300.24-57.79-243.71-215.11-167.28-289.09-81.23-214.04-176.44-231.41-121.01-157.64-256.95-97.53-329</f>
        <v>-121266.12999999992</v>
      </c>
      <c r="J177" s="33">
        <f>L177*0.5</f>
        <v>-94568.264999999999</v>
      </c>
      <c r="K177" s="33">
        <v>-130119.28</v>
      </c>
      <c r="L177" s="136">
        <v>-189136.53</v>
      </c>
      <c r="M177" s="128">
        <v>-255776.19</v>
      </c>
      <c r="N177" s="128">
        <f>-175776.19-80000</f>
        <v>-255776.19</v>
      </c>
      <c r="O177" s="128">
        <v>-174000</v>
      </c>
      <c r="P177" s="128">
        <v>-109696.39</v>
      </c>
      <c r="Q177" s="128">
        <f>R177/2</f>
        <v>-119850</v>
      </c>
      <c r="R177" s="128">
        <f>-R41-R178</f>
        <v>-239700</v>
      </c>
      <c r="S177" s="269"/>
      <c r="T177" s="137"/>
      <c r="U177" s="66" t="s">
        <v>958</v>
      </c>
      <c r="V177" s="65">
        <v>0</v>
      </c>
      <c r="W177" s="35" t="s">
        <v>963</v>
      </c>
      <c r="Z177" s="89" t="s">
        <v>758</v>
      </c>
      <c r="AA177" s="90">
        <v>2000</v>
      </c>
      <c r="AB177" s="91" t="s">
        <v>759</v>
      </c>
    </row>
    <row r="178" spans="1:29" x14ac:dyDescent="0.25">
      <c r="A178" s="37" t="s">
        <v>458</v>
      </c>
      <c r="B178" s="6" t="s">
        <v>123</v>
      </c>
      <c r="C178" s="6" t="s">
        <v>459</v>
      </c>
      <c r="D178" s="37" t="s">
        <v>460</v>
      </c>
      <c r="E178" s="59">
        <v>-66745.62</v>
      </c>
      <c r="F178" s="59">
        <v>0</v>
      </c>
      <c r="G178" s="59">
        <v>-255.56</v>
      </c>
      <c r="H178" s="59">
        <v>0</v>
      </c>
      <c r="I178" s="33"/>
      <c r="J178" s="59">
        <f>L178*0.5</f>
        <v>-36010.805000000008</v>
      </c>
      <c r="K178" s="59">
        <v>0</v>
      </c>
      <c r="L178" s="127">
        <f>-(L177+L41)</f>
        <v>-72021.610000000015</v>
      </c>
      <c r="M178" s="128">
        <v>-67259.78</v>
      </c>
      <c r="N178" s="128">
        <v>-67259.78</v>
      </c>
      <c r="O178" s="128">
        <v>0</v>
      </c>
      <c r="P178" s="128">
        <v>0</v>
      </c>
      <c r="Q178" s="128">
        <f>R178/2</f>
        <v>-34150</v>
      </c>
      <c r="R178" s="128">
        <v>-68300</v>
      </c>
      <c r="S178" s="269"/>
      <c r="U178" s="66" t="s">
        <v>959</v>
      </c>
      <c r="V178" s="65">
        <v>-392</v>
      </c>
      <c r="W178" s="35" t="s">
        <v>962</v>
      </c>
      <c r="X178" s="137"/>
      <c r="Z178" s="89" t="s">
        <v>760</v>
      </c>
      <c r="AA178" s="90">
        <v>1786.6666666666699</v>
      </c>
      <c r="AB178" s="91" t="s">
        <v>761</v>
      </c>
      <c r="AC178" s="217" t="s">
        <v>802</v>
      </c>
    </row>
    <row r="179" spans="1:29" ht="15.75" thickBot="1" x14ac:dyDescent="0.3">
      <c r="A179" s="32" t="s">
        <v>461</v>
      </c>
      <c r="B179" s="6" t="s">
        <v>129</v>
      </c>
      <c r="C179" s="402" t="s">
        <v>462</v>
      </c>
      <c r="D179" s="420" t="s">
        <v>463</v>
      </c>
      <c r="E179" s="421">
        <v>-25000</v>
      </c>
      <c r="F179" s="421">
        <v>-21529.15</v>
      </c>
      <c r="G179" s="421">
        <v>-2662.47</v>
      </c>
      <c r="H179" s="421">
        <v>-2662.47</v>
      </c>
      <c r="I179" s="404">
        <v>-2662.47</v>
      </c>
      <c r="J179" s="404">
        <f>L179*0.5</f>
        <v>-13689.275000000001</v>
      </c>
      <c r="K179" s="404">
        <v>-14204.39</v>
      </c>
      <c r="L179" s="408">
        <f>-24222.47-430-430-2296.08</f>
        <v>-27378.550000000003</v>
      </c>
      <c r="M179" s="183">
        <v>-25000</v>
      </c>
      <c r="N179" s="324">
        <v>-25000</v>
      </c>
      <c r="O179" s="324">
        <v>9560.02</v>
      </c>
      <c r="P179" s="324">
        <v>-2929.26</v>
      </c>
      <c r="Q179" s="324">
        <f>R179/2</f>
        <v>-8083.5</v>
      </c>
      <c r="R179" s="324">
        <f>-13167-3000</f>
        <v>-16167</v>
      </c>
      <c r="S179" s="308" t="s">
        <v>1063</v>
      </c>
      <c r="T179" s="92"/>
      <c r="U179" s="66" t="s">
        <v>442</v>
      </c>
      <c r="V179" s="332">
        <v>-1737.6</v>
      </c>
      <c r="W179" s="35" t="s">
        <v>961</v>
      </c>
      <c r="X179" s="92" t="s">
        <v>1013</v>
      </c>
      <c r="Z179" s="165" t="s">
        <v>762</v>
      </c>
      <c r="AA179" s="166">
        <f>3385.36-545.6</f>
        <v>2839.76</v>
      </c>
      <c r="AB179" s="167" t="s">
        <v>763</v>
      </c>
    </row>
    <row r="180" spans="1:29" ht="15.75" thickBot="1" x14ac:dyDescent="0.3">
      <c r="A180" s="32"/>
      <c r="B180" s="199"/>
      <c r="C180" s="426" t="s">
        <v>943</v>
      </c>
      <c r="D180" s="427" t="s">
        <v>944</v>
      </c>
      <c r="E180" s="428"/>
      <c r="F180" s="428"/>
      <c r="G180" s="428"/>
      <c r="H180" s="428"/>
      <c r="I180" s="429"/>
      <c r="J180" s="428"/>
      <c r="K180" s="428"/>
      <c r="L180" s="428"/>
      <c r="M180" s="430"/>
      <c r="N180" s="430">
        <v>0</v>
      </c>
      <c r="O180" s="430">
        <v>0</v>
      </c>
      <c r="P180" s="431">
        <v>0</v>
      </c>
      <c r="Q180" s="430">
        <v>0</v>
      </c>
      <c r="R180" s="432">
        <v>-1000</v>
      </c>
      <c r="S180" s="308" t="s">
        <v>1044</v>
      </c>
      <c r="T180" s="92"/>
      <c r="Z180" s="165"/>
      <c r="AA180" s="166"/>
      <c r="AB180" s="167"/>
    </row>
    <row r="181" spans="1:29" x14ac:dyDescent="0.25">
      <c r="A181" s="26" t="s">
        <v>465</v>
      </c>
      <c r="B181" s="27"/>
      <c r="C181" s="422"/>
      <c r="D181" s="423" t="s">
        <v>466</v>
      </c>
      <c r="E181" s="424">
        <f t="shared" ref="E181:M181" si="86">SUM(E182:E187)</f>
        <v>-618759</v>
      </c>
      <c r="F181" s="424">
        <f t="shared" si="86"/>
        <v>-634705.57000000007</v>
      </c>
      <c r="G181" s="424">
        <f t="shared" si="86"/>
        <v>-101834.88</v>
      </c>
      <c r="H181" s="424">
        <f t="shared" si="86"/>
        <v>-101834.88</v>
      </c>
      <c r="I181" s="425">
        <f t="shared" si="86"/>
        <v>-102677.88</v>
      </c>
      <c r="J181" s="424">
        <f t="shared" si="86"/>
        <v>-289323.37</v>
      </c>
      <c r="K181" s="424">
        <f t="shared" si="86"/>
        <v>-155381.19</v>
      </c>
      <c r="L181" s="424">
        <f t="shared" si="86"/>
        <v>-578646.74</v>
      </c>
      <c r="M181" s="424">
        <f t="shared" si="86"/>
        <v>-242103.08</v>
      </c>
      <c r="N181" s="424">
        <f>SUM(N182:N187)</f>
        <v>-243103.08</v>
      </c>
      <c r="O181" s="424">
        <f t="shared" ref="O181:P181" si="87">SUM(O182:O187)</f>
        <v>-314817.88</v>
      </c>
      <c r="P181" s="424">
        <f t="shared" si="87"/>
        <v>-96049.78</v>
      </c>
      <c r="Q181" s="424">
        <f>SUM(Q182:Q187)</f>
        <v>-120640.05499999999</v>
      </c>
      <c r="R181" s="424">
        <f>SUM(R182:R187)</f>
        <v>-241280.11</v>
      </c>
      <c r="S181" s="270"/>
      <c r="U181" s="333" t="s">
        <v>960</v>
      </c>
      <c r="V181" s="332">
        <v>-2200</v>
      </c>
      <c r="W181" s="35" t="s">
        <v>965</v>
      </c>
      <c r="X181" s="92" t="s">
        <v>1013</v>
      </c>
      <c r="Z181" s="89" t="s">
        <v>764</v>
      </c>
      <c r="AA181" s="90">
        <v>15000</v>
      </c>
      <c r="AB181" s="91" t="s">
        <v>765</v>
      </c>
    </row>
    <row r="182" spans="1:29" x14ac:dyDescent="0.25">
      <c r="A182" s="32" t="s">
        <v>467</v>
      </c>
      <c r="B182" s="6" t="s">
        <v>139</v>
      </c>
      <c r="C182" s="6" t="s">
        <v>468</v>
      </c>
      <c r="D182" s="168" t="s">
        <v>141</v>
      </c>
      <c r="E182" s="128">
        <v>-199103.08</v>
      </c>
      <c r="F182" s="128">
        <v>-596021.30000000005</v>
      </c>
      <c r="G182" s="128">
        <v>-100156.88</v>
      </c>
      <c r="H182" s="128">
        <v>-100156.88</v>
      </c>
      <c r="I182" s="33">
        <f>-49578.44-49578.44</f>
        <v>-99156.88</v>
      </c>
      <c r="J182" s="128">
        <f>L182*0.5</f>
        <v>-99551.54</v>
      </c>
      <c r="K182" s="128">
        <f>-49578.44-49578.44-49578.44</f>
        <v>-148735.32</v>
      </c>
      <c r="L182" s="128">
        <f>-199103.08</f>
        <v>-199103.08</v>
      </c>
      <c r="M182" s="128">
        <v>-199103.08</v>
      </c>
      <c r="N182" s="128">
        <v>-199103.08</v>
      </c>
      <c r="O182" s="128">
        <v>-269961.3</v>
      </c>
      <c r="P182" s="128">
        <v>-93615.78</v>
      </c>
      <c r="Q182" s="128">
        <f t="shared" ref="Q182:Q187" si="88">R182/2</f>
        <v>-97615.78</v>
      </c>
      <c r="R182" s="128">
        <v>-195231.56</v>
      </c>
      <c r="S182" s="308" t="s">
        <v>967</v>
      </c>
      <c r="T182" t="s">
        <v>469</v>
      </c>
      <c r="U182" s="66" t="s">
        <v>446</v>
      </c>
      <c r="V182" s="332">
        <v>-5000.04</v>
      </c>
      <c r="W182" s="35" t="s">
        <v>966</v>
      </c>
      <c r="X182" s="92"/>
      <c r="Z182" s="89" t="s">
        <v>766</v>
      </c>
      <c r="AA182" s="90">
        <f>6000*1.04</f>
        <v>6240</v>
      </c>
      <c r="AB182" s="91" t="s">
        <v>767</v>
      </c>
    </row>
    <row r="183" spans="1:29" x14ac:dyDescent="0.25">
      <c r="A183" s="37"/>
      <c r="B183" s="6" t="s">
        <v>139</v>
      </c>
      <c r="C183" s="6" t="s">
        <v>472</v>
      </c>
      <c r="D183" s="169" t="s">
        <v>145</v>
      </c>
      <c r="E183" s="128">
        <f>-345905.92-17500</f>
        <v>-363405.92</v>
      </c>
      <c r="F183" s="128">
        <v>-7560</v>
      </c>
      <c r="G183" s="128">
        <v>0</v>
      </c>
      <c r="H183" s="128">
        <v>0</v>
      </c>
      <c r="I183" s="33"/>
      <c r="J183" s="128">
        <f>L183*0.5</f>
        <v>-175803.8</v>
      </c>
      <c r="K183" s="128">
        <v>-2124.87</v>
      </c>
      <c r="L183" s="128">
        <f>-(325547.6+18500+7560)</f>
        <v>-351607.6</v>
      </c>
      <c r="M183" s="128">
        <v>0</v>
      </c>
      <c r="N183" s="128">
        <v>0</v>
      </c>
      <c r="O183" s="128">
        <v>-6077.89</v>
      </c>
      <c r="P183" s="128">
        <v>0</v>
      </c>
      <c r="Q183" s="128">
        <f t="shared" si="88"/>
        <v>-420</v>
      </c>
      <c r="R183" s="128">
        <f>-(800*1.05)</f>
        <v>-840</v>
      </c>
      <c r="S183" s="308" t="s">
        <v>1015</v>
      </c>
      <c r="T183" t="s">
        <v>473</v>
      </c>
      <c r="Z183" s="165" t="s">
        <v>873</v>
      </c>
      <c r="AA183" s="166">
        <f>415</f>
        <v>415</v>
      </c>
      <c r="AB183" s="167" t="s">
        <v>874</v>
      </c>
    </row>
    <row r="184" spans="1:29" x14ac:dyDescent="0.25">
      <c r="A184" s="37"/>
      <c r="B184" s="334" t="s">
        <v>139</v>
      </c>
      <c r="C184" s="310" t="s">
        <v>470</v>
      </c>
      <c r="D184" s="335" t="s">
        <v>471</v>
      </c>
      <c r="E184" s="312">
        <v>-21250</v>
      </c>
      <c r="F184" s="312">
        <v>-6149.93</v>
      </c>
      <c r="G184" s="312">
        <v>-1000</v>
      </c>
      <c r="H184" s="312">
        <v>-1000</v>
      </c>
      <c r="I184" s="314">
        <f>-1000-1000</f>
        <v>-2000</v>
      </c>
      <c r="J184" s="312">
        <f>L184*0.5</f>
        <v>-2000</v>
      </c>
      <c r="K184" s="312">
        <f>-1000*3</f>
        <v>-3000</v>
      </c>
      <c r="L184" s="312">
        <v>-4000</v>
      </c>
      <c r="M184" s="312">
        <v>-4000</v>
      </c>
      <c r="N184" s="312">
        <v>-4000</v>
      </c>
      <c r="O184" s="312">
        <v>-4006.84</v>
      </c>
      <c r="P184" s="312">
        <v>0</v>
      </c>
      <c r="Q184" s="128">
        <f t="shared" si="88"/>
        <v>0</v>
      </c>
      <c r="R184" s="312">
        <v>0</v>
      </c>
      <c r="S184" s="308" t="s">
        <v>968</v>
      </c>
      <c r="T184" s="54">
        <v>4</v>
      </c>
      <c r="U184" s="54"/>
      <c r="V184" s="54"/>
      <c r="W184" s="54"/>
      <c r="X184" s="54"/>
      <c r="Z184" s="288" t="s">
        <v>803</v>
      </c>
      <c r="AA184" s="289">
        <v>4300</v>
      </c>
      <c r="AB184" s="290" t="s">
        <v>870</v>
      </c>
    </row>
    <row r="185" spans="1:29" x14ac:dyDescent="0.25">
      <c r="A185" s="37"/>
      <c r="B185" s="6" t="s">
        <v>139</v>
      </c>
      <c r="C185" s="6" t="s">
        <v>475</v>
      </c>
      <c r="D185" s="169" t="s">
        <v>476</v>
      </c>
      <c r="E185" s="128">
        <v>-10000</v>
      </c>
      <c r="F185" s="128">
        <v>0</v>
      </c>
      <c r="G185" s="128">
        <v>0</v>
      </c>
      <c r="H185" s="128">
        <v>0</v>
      </c>
      <c r="I185" s="33"/>
      <c r="J185" s="128">
        <f>L185/2</f>
        <v>-4802.53</v>
      </c>
      <c r="K185" s="128">
        <v>0</v>
      </c>
      <c r="L185" s="128">
        <v>-9605.06</v>
      </c>
      <c r="M185" s="128">
        <f>-10000+1000</f>
        <v>-9000</v>
      </c>
      <c r="N185" s="128">
        <v>-10000</v>
      </c>
      <c r="O185" s="128">
        <v>-9771.85</v>
      </c>
      <c r="P185" s="128">
        <v>0</v>
      </c>
      <c r="Q185" s="128">
        <f t="shared" si="88"/>
        <v>-4137.2749999999996</v>
      </c>
      <c r="R185" s="128">
        <v>-8274.5499999999993</v>
      </c>
      <c r="S185" s="350"/>
      <c r="Z185" s="299" t="s">
        <v>871</v>
      </c>
      <c r="AA185" s="300">
        <v>2700</v>
      </c>
      <c r="AB185" s="301" t="s">
        <v>872</v>
      </c>
    </row>
    <row r="186" spans="1:29" x14ac:dyDescent="0.25">
      <c r="A186" s="37"/>
      <c r="B186" s="6" t="s">
        <v>139</v>
      </c>
      <c r="C186" s="6" t="s">
        <v>479</v>
      </c>
      <c r="D186" s="169" t="s">
        <v>480</v>
      </c>
      <c r="E186" s="128">
        <v>-25000</v>
      </c>
      <c r="F186" s="128">
        <v>-24974.34</v>
      </c>
      <c r="G186" s="128">
        <v>0</v>
      </c>
      <c r="H186" s="128">
        <v>0</v>
      </c>
      <c r="I186" s="33"/>
      <c r="J186" s="128">
        <f>L186*0.5</f>
        <v>-5000</v>
      </c>
      <c r="K186" s="128">
        <v>0</v>
      </c>
      <c r="L186" s="128">
        <v>-10000</v>
      </c>
      <c r="M186" s="128">
        <v>-25000</v>
      </c>
      <c r="N186" s="128">
        <v>-25000</v>
      </c>
      <c r="O186" s="128">
        <v>-25000</v>
      </c>
      <c r="P186" s="128">
        <v>0</v>
      </c>
      <c r="Q186" s="128">
        <f t="shared" si="88"/>
        <v>-12500</v>
      </c>
      <c r="R186" s="128">
        <f>-19949-5051</f>
        <v>-25000</v>
      </c>
      <c r="S186" s="308" t="s">
        <v>1059</v>
      </c>
      <c r="T186" s="349"/>
      <c r="U186" s="3"/>
      <c r="V186" s="3"/>
      <c r="W186" s="3"/>
      <c r="X186" s="3"/>
    </row>
    <row r="187" spans="1:29" x14ac:dyDescent="0.25">
      <c r="A187" s="32" t="s">
        <v>338</v>
      </c>
      <c r="B187" s="6" t="s">
        <v>139</v>
      </c>
      <c r="C187" s="6" t="s">
        <v>768</v>
      </c>
      <c r="D187" s="32" t="s">
        <v>735</v>
      </c>
      <c r="E187" s="33">
        <v>0</v>
      </c>
      <c r="F187" s="33">
        <v>0</v>
      </c>
      <c r="G187" s="33">
        <v>-678</v>
      </c>
      <c r="H187" s="33">
        <v>-678</v>
      </c>
      <c r="I187" s="33">
        <f>-676-845</f>
        <v>-1521</v>
      </c>
      <c r="J187" s="33">
        <f>L187*0.5</f>
        <v>-2165.5</v>
      </c>
      <c r="K187" s="33">
        <v>-1521</v>
      </c>
      <c r="L187" s="127">
        <f>-4500+169</f>
        <v>-4331</v>
      </c>
      <c r="M187" s="128">
        <v>-5000</v>
      </c>
      <c r="N187" s="128">
        <v>-5000</v>
      </c>
      <c r="O187" s="128">
        <v>0</v>
      </c>
      <c r="P187" s="128">
        <v>-2434</v>
      </c>
      <c r="Q187" s="128">
        <f t="shared" si="88"/>
        <v>-5967</v>
      </c>
      <c r="R187" s="128">
        <f>-2434-500-9000</f>
        <v>-11934</v>
      </c>
      <c r="S187" s="274" t="s">
        <v>969</v>
      </c>
      <c r="T187" s="175" t="s">
        <v>769</v>
      </c>
      <c r="U187" s="175"/>
      <c r="V187" s="175"/>
      <c r="W187" s="175"/>
      <c r="X187" s="175"/>
      <c r="AA187" s="63" t="s">
        <v>474</v>
      </c>
      <c r="AB187" s="64"/>
    </row>
    <row r="188" spans="1:29" x14ac:dyDescent="0.25">
      <c r="A188" s="26" t="s">
        <v>483</v>
      </c>
      <c r="B188" s="27"/>
      <c r="C188" s="27"/>
      <c r="D188" s="26" t="s">
        <v>484</v>
      </c>
      <c r="E188" s="176">
        <f t="shared" ref="E188:Q188" si="89">E189</f>
        <v>-1000</v>
      </c>
      <c r="F188" s="176">
        <f t="shared" si="89"/>
        <v>-1000</v>
      </c>
      <c r="G188" s="176">
        <f t="shared" si="89"/>
        <v>-1000</v>
      </c>
      <c r="H188" s="176">
        <f t="shared" si="89"/>
        <v>-1000</v>
      </c>
      <c r="I188" s="237">
        <v>-1000</v>
      </c>
      <c r="J188" s="176">
        <f t="shared" si="89"/>
        <v>-500</v>
      </c>
      <c r="K188" s="176">
        <f t="shared" si="89"/>
        <v>-1000</v>
      </c>
      <c r="L188" s="177">
        <f t="shared" si="89"/>
        <v>-1000</v>
      </c>
      <c r="M188" s="178">
        <f t="shared" si="89"/>
        <v>-1000</v>
      </c>
      <c r="N188" s="178">
        <f t="shared" si="89"/>
        <v>-1000</v>
      </c>
      <c r="O188" s="178">
        <f t="shared" si="89"/>
        <v>-1000</v>
      </c>
      <c r="P188" s="178">
        <f t="shared" si="89"/>
        <v>-1000</v>
      </c>
      <c r="Q188" s="178">
        <f t="shared" si="89"/>
        <v>-500</v>
      </c>
      <c r="R188" s="178">
        <f>R189</f>
        <v>-1000</v>
      </c>
      <c r="S188" s="270"/>
      <c r="AA188" s="65">
        <v>-9312.52</v>
      </c>
      <c r="AB188" s="66" t="s">
        <v>478</v>
      </c>
    </row>
    <row r="189" spans="1:29" x14ac:dyDescent="0.25">
      <c r="A189" s="37" t="s">
        <v>485</v>
      </c>
      <c r="B189" s="6" t="s">
        <v>155</v>
      </c>
      <c r="C189" s="6" t="s">
        <v>486</v>
      </c>
      <c r="D189" s="37" t="s">
        <v>487</v>
      </c>
      <c r="E189" s="59">
        <v>-1000</v>
      </c>
      <c r="F189" s="59">
        <v>-1000</v>
      </c>
      <c r="G189" s="59">
        <v>-1000</v>
      </c>
      <c r="H189" s="59">
        <v>-1000</v>
      </c>
      <c r="I189" s="240">
        <v>-1000</v>
      </c>
      <c r="J189" s="59">
        <f>L189*0.5</f>
        <v>-500</v>
      </c>
      <c r="K189" s="59">
        <v>-1000</v>
      </c>
      <c r="L189" s="127">
        <f>H189</f>
        <v>-1000</v>
      </c>
      <c r="M189" s="128">
        <v>-1000</v>
      </c>
      <c r="N189" s="128">
        <v>-1000</v>
      </c>
      <c r="O189" s="128">
        <v>-1000</v>
      </c>
      <c r="P189" s="128">
        <v>-1000</v>
      </c>
      <c r="Q189" s="128">
        <f>R189/2</f>
        <v>-500</v>
      </c>
      <c r="R189" s="128">
        <v>-1000</v>
      </c>
      <c r="S189" s="269"/>
      <c r="AA189" s="95" t="s">
        <v>481</v>
      </c>
      <c r="AB189" s="66" t="s">
        <v>482</v>
      </c>
    </row>
    <row r="190" spans="1:29" x14ac:dyDescent="0.25">
      <c r="A190" s="23" t="s">
        <v>488</v>
      </c>
      <c r="B190" s="24"/>
      <c r="C190" s="24"/>
      <c r="D190" s="23" t="s">
        <v>489</v>
      </c>
      <c r="E190" s="61">
        <f t="shared" ref="E190:K190" si="90">SUM(E191:E192)</f>
        <v>-15000</v>
      </c>
      <c r="F190" s="61">
        <f t="shared" si="90"/>
        <v>-9072.7199999999993</v>
      </c>
      <c r="G190" s="61">
        <f t="shared" si="90"/>
        <v>-8328.75</v>
      </c>
      <c r="H190" s="61">
        <f t="shared" si="90"/>
        <v>0</v>
      </c>
      <c r="I190" s="141">
        <f>SUM(I191:I192)</f>
        <v>-8328.75</v>
      </c>
      <c r="J190" s="141">
        <f t="shared" si="90"/>
        <v>-11277.68</v>
      </c>
      <c r="K190" s="141">
        <f t="shared" si="90"/>
        <v>-8328.75</v>
      </c>
      <c r="L190" s="141">
        <f>SUM(L191:L192)</f>
        <v>-22555.360000000001</v>
      </c>
      <c r="M190" s="142">
        <f>SUM(M191:M192)</f>
        <v>-35576.61</v>
      </c>
      <c r="N190" s="142">
        <f>SUM(N191:N192)</f>
        <v>-35576.61</v>
      </c>
      <c r="O190" s="142">
        <f t="shared" ref="O190:P190" si="91">SUM(O191:O192)</f>
        <v>-3327.27</v>
      </c>
      <c r="P190" s="142">
        <f t="shared" si="91"/>
        <v>-1350</v>
      </c>
      <c r="Q190" s="142">
        <f>SUM(Q191:Q192)</f>
        <v>-7894.4949999999999</v>
      </c>
      <c r="R190" s="142">
        <f>SUM(R191:R192)</f>
        <v>-15788.99</v>
      </c>
      <c r="S190" s="273"/>
    </row>
    <row r="191" spans="1:29" x14ac:dyDescent="0.25">
      <c r="A191" s="37" t="s">
        <v>490</v>
      </c>
      <c r="B191" s="62" t="s">
        <v>161</v>
      </c>
      <c r="C191" s="6" t="s">
        <v>491</v>
      </c>
      <c r="D191" s="37" t="s">
        <v>492</v>
      </c>
      <c r="E191" s="33">
        <v>-15000</v>
      </c>
      <c r="F191" s="33">
        <v>-2072.7199999999998</v>
      </c>
      <c r="G191" s="33">
        <v>-1350</v>
      </c>
      <c r="H191" s="33">
        <v>0</v>
      </c>
      <c r="I191" s="33">
        <v>-1350</v>
      </c>
      <c r="J191" s="33">
        <f>L191*0.5</f>
        <v>-7788.3050000000003</v>
      </c>
      <c r="K191" s="33">
        <v>-1350</v>
      </c>
      <c r="L191" s="127">
        <v>-15576.61</v>
      </c>
      <c r="M191" s="127">
        <v>-15576.61</v>
      </c>
      <c r="N191" s="128">
        <v>-15576.61</v>
      </c>
      <c r="O191" s="128">
        <v>-3327.27</v>
      </c>
      <c r="P191" s="318">
        <v>-1350</v>
      </c>
      <c r="Q191" s="128">
        <f>R191/2</f>
        <v>-7894.4949999999999</v>
      </c>
      <c r="R191" s="128">
        <f>P191*2-13088.99</f>
        <v>-15788.99</v>
      </c>
      <c r="S191" s="269"/>
      <c r="T191" s="70"/>
    </row>
    <row r="192" spans="1:29" x14ac:dyDescent="0.25">
      <c r="A192" s="37"/>
      <c r="B192" s="62" t="s">
        <v>161</v>
      </c>
      <c r="C192" s="6" t="s">
        <v>493</v>
      </c>
      <c r="D192" s="37" t="s">
        <v>168</v>
      </c>
      <c r="E192" s="33">
        <v>0</v>
      </c>
      <c r="F192" s="33">
        <v>-7000</v>
      </c>
      <c r="G192" s="33">
        <v>-6978.75</v>
      </c>
      <c r="H192" s="33">
        <v>0</v>
      </c>
      <c r="I192" s="33">
        <v>-6978.75</v>
      </c>
      <c r="J192" s="33">
        <f>L192*0.5</f>
        <v>-3489.375</v>
      </c>
      <c r="K192" s="59">
        <v>-6978.75</v>
      </c>
      <c r="L192" s="127">
        <f>G192</f>
        <v>-6978.75</v>
      </c>
      <c r="M192" s="128">
        <v>-20000</v>
      </c>
      <c r="N192" s="128">
        <v>-20000</v>
      </c>
      <c r="O192" s="128">
        <v>0</v>
      </c>
      <c r="P192" s="317">
        <v>0</v>
      </c>
      <c r="Q192" s="128">
        <f>R192/2</f>
        <v>0</v>
      </c>
      <c r="R192" s="307">
        <v>0</v>
      </c>
      <c r="S192" s="308" t="s">
        <v>1064</v>
      </c>
    </row>
    <row r="193" spans="1:28" x14ac:dyDescent="0.25">
      <c r="A193" s="23" t="s">
        <v>494</v>
      </c>
      <c r="B193" s="24"/>
      <c r="C193" s="24"/>
      <c r="D193" s="23" t="s">
        <v>495</v>
      </c>
      <c r="E193" s="61">
        <f t="shared" ref="E193:P193" si="92">SUM(E194:E196)</f>
        <v>-33814.9</v>
      </c>
      <c r="F193" s="61">
        <f t="shared" si="92"/>
        <v>-33768.639999999999</v>
      </c>
      <c r="G193" s="61">
        <f t="shared" si="92"/>
        <v>-12118</v>
      </c>
      <c r="H193" s="61">
        <f t="shared" si="92"/>
        <v>-12118</v>
      </c>
      <c r="I193" s="241">
        <f t="shared" ref="I193" si="93">SUM(I194:I196)</f>
        <v>-12118</v>
      </c>
      <c r="J193" s="61">
        <f t="shared" si="92"/>
        <v>-24856.5</v>
      </c>
      <c r="K193" s="61">
        <f t="shared" si="92"/>
        <v>-12118</v>
      </c>
      <c r="L193" s="141">
        <f>SUM(L194:L196)</f>
        <v>-51213</v>
      </c>
      <c r="M193" s="142">
        <f t="shared" si="92"/>
        <v>-33814.9</v>
      </c>
      <c r="N193" s="142">
        <f t="shared" si="92"/>
        <v>-33814.9</v>
      </c>
      <c r="O193" s="142">
        <f t="shared" si="92"/>
        <v>-45346.31</v>
      </c>
      <c r="P193" s="142">
        <f t="shared" si="92"/>
        <v>-18761.02</v>
      </c>
      <c r="Q193" s="142">
        <f>SUM(Q194:Q196)</f>
        <v>-25794.51</v>
      </c>
      <c r="R193" s="142">
        <f>SUM(R194:R196)</f>
        <v>-51589.02</v>
      </c>
      <c r="S193" s="273"/>
      <c r="Y193" s="63" t="s">
        <v>496</v>
      </c>
      <c r="Z193" s="96"/>
      <c r="AA193" s="97"/>
    </row>
    <row r="194" spans="1:28" x14ac:dyDescent="0.25">
      <c r="A194" s="37" t="s">
        <v>497</v>
      </c>
      <c r="B194" s="6" t="s">
        <v>172</v>
      </c>
      <c r="C194" s="6" t="s">
        <v>498</v>
      </c>
      <c r="D194" s="37" t="s">
        <v>499</v>
      </c>
      <c r="E194" s="33">
        <v>-33814.9</v>
      </c>
      <c r="F194" s="33">
        <v>-33768.639999999999</v>
      </c>
      <c r="G194" s="33">
        <v>-12118</v>
      </c>
      <c r="H194" s="33">
        <v>-12118</v>
      </c>
      <c r="I194" s="33">
        <v>-12118</v>
      </c>
      <c r="J194" s="33">
        <f>L194*0.5</f>
        <v>-24856.5</v>
      </c>
      <c r="K194" s="59">
        <v>-12118</v>
      </c>
      <c r="L194" s="127">
        <f>SUM(Y194:Y196)</f>
        <v>-49713</v>
      </c>
      <c r="M194" s="128">
        <v>-33814.9</v>
      </c>
      <c r="N194" s="128">
        <v>-33814.9</v>
      </c>
      <c r="O194" s="128">
        <v>-45346.31</v>
      </c>
      <c r="P194" s="128">
        <v>-18761.02</v>
      </c>
      <c r="Q194" s="128">
        <f>R194/2</f>
        <v>-25794.51</v>
      </c>
      <c r="R194" s="307">
        <f>-29489.6-4099.42-18000</f>
        <v>-51589.02</v>
      </c>
      <c r="S194" s="308" t="s">
        <v>1016</v>
      </c>
      <c r="T194" s="345"/>
      <c r="U194" s="145"/>
      <c r="V194" s="145"/>
      <c r="W194" s="145"/>
      <c r="X194" s="145"/>
      <c r="Y194" s="65">
        <v>-24644</v>
      </c>
      <c r="Z194" s="98" t="s">
        <v>501</v>
      </c>
      <c r="AA194" s="98"/>
      <c r="AB194" s="137"/>
    </row>
    <row r="195" spans="1:28" x14ac:dyDescent="0.25">
      <c r="A195" s="32" t="s">
        <v>502</v>
      </c>
      <c r="B195" s="6" t="s">
        <v>172</v>
      </c>
      <c r="C195" s="6" t="s">
        <v>503</v>
      </c>
      <c r="D195" s="32" t="s">
        <v>504</v>
      </c>
      <c r="E195" s="33">
        <v>0</v>
      </c>
      <c r="F195" s="33">
        <v>0</v>
      </c>
      <c r="G195" s="33">
        <v>0</v>
      </c>
      <c r="H195" s="33">
        <v>0</v>
      </c>
      <c r="I195" s="33"/>
      <c r="J195" s="33">
        <v>0</v>
      </c>
      <c r="K195" s="33">
        <v>0</v>
      </c>
      <c r="L195" s="127">
        <v>0</v>
      </c>
      <c r="M195" s="128">
        <v>0</v>
      </c>
      <c r="N195" s="128">
        <v>0</v>
      </c>
      <c r="O195" s="128">
        <v>0</v>
      </c>
      <c r="P195" s="128">
        <v>0</v>
      </c>
      <c r="Q195" s="128">
        <f>R195/2</f>
        <v>0</v>
      </c>
      <c r="R195" s="128">
        <v>0</v>
      </c>
      <c r="S195" s="269"/>
      <c r="Y195" s="65">
        <v>-9631.27</v>
      </c>
      <c r="Z195" s="66" t="s">
        <v>770</v>
      </c>
      <c r="AA195" s="66"/>
      <c r="AB195" t="s">
        <v>771</v>
      </c>
    </row>
    <row r="196" spans="1:28" x14ac:dyDescent="0.25">
      <c r="A196" s="37" t="s">
        <v>506</v>
      </c>
      <c r="B196" s="6" t="s">
        <v>172</v>
      </c>
      <c r="C196" s="6" t="s">
        <v>507</v>
      </c>
      <c r="D196" s="37" t="s">
        <v>508</v>
      </c>
      <c r="E196" s="59">
        <v>0</v>
      </c>
      <c r="F196" s="59">
        <v>0</v>
      </c>
      <c r="G196" s="59">
        <v>0</v>
      </c>
      <c r="H196" s="59">
        <v>0</v>
      </c>
      <c r="I196" s="240"/>
      <c r="J196" s="59">
        <v>0</v>
      </c>
      <c r="K196" s="59">
        <v>0</v>
      </c>
      <c r="L196" s="127">
        <v>-1500</v>
      </c>
      <c r="M196" s="128">
        <v>0</v>
      </c>
      <c r="N196" s="128">
        <v>0</v>
      </c>
      <c r="O196" s="128">
        <v>0</v>
      </c>
      <c r="P196" s="128">
        <v>0</v>
      </c>
      <c r="Q196" s="128">
        <f>R196/2</f>
        <v>0</v>
      </c>
      <c r="R196" s="128">
        <v>0</v>
      </c>
      <c r="S196" s="269"/>
      <c r="Y196" s="179">
        <v>-15437.73</v>
      </c>
      <c r="Z196" s="100" t="s">
        <v>772</v>
      </c>
      <c r="AA196" s="100"/>
      <c r="AB196" t="s">
        <v>771</v>
      </c>
    </row>
    <row r="197" spans="1:28" x14ac:dyDescent="0.25">
      <c r="A197" s="23" t="s">
        <v>510</v>
      </c>
      <c r="B197" s="24"/>
      <c r="C197" s="24"/>
      <c r="D197" s="23" t="s">
        <v>511</v>
      </c>
      <c r="E197" s="61">
        <f t="shared" ref="E197:P197" si="94">SUM(E198:E199)</f>
        <v>-140000</v>
      </c>
      <c r="F197" s="61">
        <f t="shared" si="94"/>
        <v>-6049.6399999999994</v>
      </c>
      <c r="G197" s="61">
        <f t="shared" si="94"/>
        <v>-0.15</v>
      </c>
      <c r="H197" s="61">
        <f t="shared" si="94"/>
        <v>-0.15</v>
      </c>
      <c r="I197" s="241">
        <f t="shared" ref="I197" si="95">SUM(I198:I199)</f>
        <v>-0.15000000000000002</v>
      </c>
      <c r="J197" s="61">
        <f t="shared" si="94"/>
        <v>-3289.43</v>
      </c>
      <c r="K197" s="61">
        <f t="shared" si="94"/>
        <v>0</v>
      </c>
      <c r="L197" s="141">
        <f>SUM(L198:L199)</f>
        <v>-6578.86</v>
      </c>
      <c r="M197" s="142">
        <f t="shared" si="94"/>
        <v>-72834</v>
      </c>
      <c r="N197" s="142">
        <f>SUM(N198:N199)</f>
        <v>-202834</v>
      </c>
      <c r="O197" s="142">
        <f t="shared" si="94"/>
        <v>-34854.46</v>
      </c>
      <c r="P197" s="142">
        <f t="shared" si="94"/>
        <v>-38944.74</v>
      </c>
      <c r="Q197" s="142">
        <f>SUM(Q198:Q199)</f>
        <v>-21927.37</v>
      </c>
      <c r="R197" s="142">
        <f>SUM(R198:R199)</f>
        <v>-43854.74</v>
      </c>
      <c r="S197" s="273"/>
    </row>
    <row r="198" spans="1:28" x14ac:dyDescent="0.25">
      <c r="A198" s="37" t="s">
        <v>513</v>
      </c>
      <c r="B198" s="6" t="s">
        <v>190</v>
      </c>
      <c r="C198" s="6" t="s">
        <v>514</v>
      </c>
      <c r="D198" s="37" t="s">
        <v>515</v>
      </c>
      <c r="E198" s="33">
        <v>-130000</v>
      </c>
      <c r="F198" s="33">
        <v>-786.94</v>
      </c>
      <c r="G198" s="33">
        <v>-0.15</v>
      </c>
      <c r="H198" s="33">
        <v>-0.15</v>
      </c>
      <c r="I198" s="33">
        <v>-0.15000000000000002</v>
      </c>
      <c r="J198" s="33">
        <f>L198*0.5</f>
        <v>-3289.43</v>
      </c>
      <c r="K198" s="33">
        <v>0</v>
      </c>
      <c r="L198" s="128">
        <f>-578.86-6000</f>
        <v>-6578.86</v>
      </c>
      <c r="M198" s="128">
        <f>-33934-33900</f>
        <v>-67834</v>
      </c>
      <c r="N198" s="128">
        <f>-130000-33934-33900</f>
        <v>-197834</v>
      </c>
      <c r="O198" s="128">
        <v>-30794.65</v>
      </c>
      <c r="P198" s="128">
        <v>-38944.74</v>
      </c>
      <c r="Q198" s="128">
        <f>R198/2</f>
        <v>-19472.37</v>
      </c>
      <c r="R198" s="128">
        <f>-38944.74</f>
        <v>-38944.74</v>
      </c>
      <c r="S198" s="308" t="s">
        <v>970</v>
      </c>
      <c r="U198" s="92"/>
      <c r="V198" s="92"/>
      <c r="W198" s="92"/>
      <c r="X198" s="92"/>
      <c r="Y198" s="146"/>
    </row>
    <row r="199" spans="1:28" x14ac:dyDescent="0.25">
      <c r="A199" s="32"/>
      <c r="B199" s="6" t="s">
        <v>190</v>
      </c>
      <c r="C199" s="6" t="s">
        <v>518</v>
      </c>
      <c r="D199" s="32" t="s">
        <v>519</v>
      </c>
      <c r="E199" s="33">
        <v>-10000</v>
      </c>
      <c r="F199" s="33">
        <v>-5262.7</v>
      </c>
      <c r="G199" s="33">
        <v>0</v>
      </c>
      <c r="H199" s="33">
        <v>0</v>
      </c>
      <c r="I199" s="33"/>
      <c r="J199" s="33">
        <f>L199*0.5</f>
        <v>0</v>
      </c>
      <c r="K199" s="33">
        <v>0</v>
      </c>
      <c r="L199" s="127">
        <v>0</v>
      </c>
      <c r="M199" s="128">
        <v>-5000</v>
      </c>
      <c r="N199" s="156">
        <v>-5000</v>
      </c>
      <c r="O199" s="156">
        <v>-4059.81</v>
      </c>
      <c r="P199" s="156">
        <v>0</v>
      </c>
      <c r="Q199" s="128">
        <f>R199/2</f>
        <v>-2455</v>
      </c>
      <c r="R199" s="361">
        <f>(-2200*1.05)-2600</f>
        <v>-4910</v>
      </c>
      <c r="S199" s="308" t="s">
        <v>1065</v>
      </c>
      <c r="T199" s="284"/>
    </row>
    <row r="200" spans="1:28" hidden="1" x14ac:dyDescent="0.25">
      <c r="A200" s="23" t="s">
        <v>520</v>
      </c>
      <c r="B200" s="24"/>
      <c r="C200" s="336"/>
      <c r="D200" s="337" t="s">
        <v>521</v>
      </c>
      <c r="E200" s="61">
        <f t="shared" ref="E200:R200" si="96">E201</f>
        <v>0</v>
      </c>
      <c r="F200" s="61">
        <f t="shared" si="96"/>
        <v>0</v>
      </c>
      <c r="G200" s="61">
        <f t="shared" si="96"/>
        <v>0</v>
      </c>
      <c r="H200" s="61">
        <f t="shared" si="96"/>
        <v>0</v>
      </c>
      <c r="I200" s="241">
        <v>0</v>
      </c>
      <c r="J200" s="61">
        <f t="shared" si="96"/>
        <v>0</v>
      </c>
      <c r="K200" s="61">
        <f t="shared" si="96"/>
        <v>0</v>
      </c>
      <c r="L200" s="141">
        <f t="shared" si="96"/>
        <v>0</v>
      </c>
      <c r="M200" s="142">
        <f t="shared" si="96"/>
        <v>0</v>
      </c>
      <c r="N200" s="142">
        <f t="shared" si="96"/>
        <v>0</v>
      </c>
      <c r="O200" s="142">
        <f t="shared" si="96"/>
        <v>0</v>
      </c>
      <c r="P200" s="142">
        <f t="shared" si="96"/>
        <v>0</v>
      </c>
      <c r="Q200" s="142">
        <f t="shared" si="96"/>
        <v>0</v>
      </c>
      <c r="R200" s="142">
        <f t="shared" si="96"/>
        <v>0</v>
      </c>
      <c r="S200" s="273"/>
      <c r="Z200" s="63" t="s">
        <v>526</v>
      </c>
      <c r="AA200" s="87"/>
      <c r="AB200" s="64"/>
    </row>
    <row r="201" spans="1:28" hidden="1" x14ac:dyDescent="0.25">
      <c r="A201" s="37" t="s">
        <v>522</v>
      </c>
      <c r="B201" s="6" t="s">
        <v>221</v>
      </c>
      <c r="C201" s="310" t="s">
        <v>523</v>
      </c>
      <c r="D201" s="311" t="s">
        <v>524</v>
      </c>
      <c r="E201" s="59">
        <v>0</v>
      </c>
      <c r="F201" s="59">
        <v>0</v>
      </c>
      <c r="G201" s="59">
        <v>0</v>
      </c>
      <c r="H201" s="59">
        <v>0</v>
      </c>
      <c r="I201" s="240"/>
      <c r="J201" s="59">
        <v>0</v>
      </c>
      <c r="K201" s="33">
        <v>0</v>
      </c>
      <c r="L201" s="127">
        <v>0</v>
      </c>
      <c r="M201" s="128">
        <v>0</v>
      </c>
      <c r="N201" s="312">
        <v>0</v>
      </c>
      <c r="O201" s="312">
        <v>0</v>
      </c>
      <c r="P201" s="312">
        <v>0</v>
      </c>
      <c r="Q201" s="312">
        <f>R201/2</f>
        <v>0</v>
      </c>
      <c r="R201" s="312">
        <v>0</v>
      </c>
      <c r="S201" s="269"/>
      <c r="Z201" s="66" t="s">
        <v>552</v>
      </c>
      <c r="AA201" s="65">
        <v>-187</v>
      </c>
      <c r="AB201" s="66" t="s">
        <v>773</v>
      </c>
    </row>
    <row r="202" spans="1:28" x14ac:dyDescent="0.25">
      <c r="A202" s="23" t="s">
        <v>525</v>
      </c>
      <c r="B202" s="24"/>
      <c r="C202" s="24"/>
      <c r="D202" s="23" t="s">
        <v>526</v>
      </c>
      <c r="E202" s="61">
        <f t="shared" ref="E202:R202" si="97">E203</f>
        <v>-20000</v>
      </c>
      <c r="F202" s="61">
        <f t="shared" si="97"/>
        <v>-17025.18</v>
      </c>
      <c r="G202" s="61">
        <f t="shared" si="97"/>
        <v>-5592.56</v>
      </c>
      <c r="H202" s="61">
        <f t="shared" si="97"/>
        <v>-5592.56</v>
      </c>
      <c r="I202" s="241">
        <f>I203</f>
        <v>-6562.56</v>
      </c>
      <c r="J202" s="61">
        <f t="shared" si="97"/>
        <v>-13656.740000000002</v>
      </c>
      <c r="K202" s="61">
        <f t="shared" si="97"/>
        <v>-17512.560000000001</v>
      </c>
      <c r="L202" s="141">
        <f t="shared" si="97"/>
        <v>-27313.480000000003</v>
      </c>
      <c r="M202" s="142">
        <f t="shared" si="97"/>
        <v>-25000</v>
      </c>
      <c r="N202" s="142">
        <f t="shared" si="97"/>
        <v>-25000</v>
      </c>
      <c r="O202" s="142">
        <f t="shared" si="97"/>
        <v>-24501.99</v>
      </c>
      <c r="P202" s="142">
        <f t="shared" si="97"/>
        <v>-12865.84</v>
      </c>
      <c r="Q202" s="142">
        <f t="shared" si="97"/>
        <v>-15630.99</v>
      </c>
      <c r="R202" s="142">
        <f t="shared" si="97"/>
        <v>-31261.98</v>
      </c>
      <c r="S202" s="273"/>
      <c r="T202" t="s">
        <v>530</v>
      </c>
      <c r="U202" s="331">
        <v>2024</v>
      </c>
      <c r="Z202" s="35"/>
      <c r="AA202" s="180">
        <v>-6000</v>
      </c>
      <c r="AB202" s="49" t="s">
        <v>774</v>
      </c>
    </row>
    <row r="203" spans="1:28" x14ac:dyDescent="0.25">
      <c r="A203" s="37" t="s">
        <v>527</v>
      </c>
      <c r="B203" s="6" t="s">
        <v>227</v>
      </c>
      <c r="C203" s="6" t="s">
        <v>528</v>
      </c>
      <c r="D203" s="37" t="s">
        <v>529</v>
      </c>
      <c r="E203" s="33">
        <v>-20000</v>
      </c>
      <c r="F203" s="33">
        <v>-17025.18</v>
      </c>
      <c r="G203" s="33">
        <v>-5592.56</v>
      </c>
      <c r="H203" s="33">
        <v>-5592.56</v>
      </c>
      <c r="I203" s="33">
        <f>-5592.56-970</f>
        <v>-6562.56</v>
      </c>
      <c r="J203" s="33">
        <f>L203*0.5</f>
        <v>-13656.740000000002</v>
      </c>
      <c r="K203" s="33">
        <v>-17512.560000000001</v>
      </c>
      <c r="L203" s="127">
        <f>SUM(AA201:AA212)</f>
        <v>-27313.480000000003</v>
      </c>
      <c r="M203" s="128">
        <v>-25000</v>
      </c>
      <c r="N203" s="128">
        <v>-25000</v>
      </c>
      <c r="O203" s="128">
        <v>-24501.99</v>
      </c>
      <c r="P203" s="318">
        <v>-12865.84</v>
      </c>
      <c r="Q203" s="128">
        <f>R203/2</f>
        <v>-15630.99</v>
      </c>
      <c r="R203" s="128">
        <f>SUM(V204:V213)</f>
        <v>-31261.98</v>
      </c>
      <c r="S203" s="269"/>
      <c r="U203" s="63" t="s">
        <v>529</v>
      </c>
      <c r="V203" s="87"/>
      <c r="W203" s="64"/>
      <c r="Z203" s="66" t="s">
        <v>531</v>
      </c>
      <c r="AA203" s="65">
        <v>-621.36</v>
      </c>
      <c r="AB203" s="66" t="s">
        <v>532</v>
      </c>
    </row>
    <row r="204" spans="1:28" x14ac:dyDescent="0.25">
      <c r="A204" s="23" t="s">
        <v>533</v>
      </c>
      <c r="B204" s="24"/>
      <c r="C204" s="24"/>
      <c r="D204" s="23" t="s">
        <v>534</v>
      </c>
      <c r="E204" s="61">
        <f t="shared" ref="E204:Q204" si="98">SUM(E205:E206)</f>
        <v>-23000</v>
      </c>
      <c r="F204" s="61">
        <f t="shared" si="98"/>
        <v>0</v>
      </c>
      <c r="G204" s="61">
        <f t="shared" si="98"/>
        <v>-657.69</v>
      </c>
      <c r="H204" s="61">
        <f t="shared" si="98"/>
        <v>-657.69</v>
      </c>
      <c r="I204" s="241">
        <f>SUM(I205:I226)</f>
        <v>-1183.79</v>
      </c>
      <c r="J204" s="61">
        <f t="shared" si="98"/>
        <v>-657.69</v>
      </c>
      <c r="K204" s="61">
        <f t="shared" si="98"/>
        <v>-1183.79</v>
      </c>
      <c r="L204" s="141">
        <f t="shared" si="98"/>
        <v>-20741.060000000001</v>
      </c>
      <c r="M204" s="142">
        <f t="shared" si="98"/>
        <v>-4000</v>
      </c>
      <c r="N204" s="142">
        <f t="shared" si="98"/>
        <v>-4000</v>
      </c>
      <c r="O204" s="142">
        <f t="shared" si="98"/>
        <v>-6630.51</v>
      </c>
      <c r="P204" s="142">
        <f t="shared" si="98"/>
        <v>-1037.1300000000001</v>
      </c>
      <c r="Q204" s="142">
        <f t="shared" si="98"/>
        <v>-1500</v>
      </c>
      <c r="R204" s="142">
        <f>SUM(R205:R206)</f>
        <v>-3000</v>
      </c>
      <c r="S204" s="273"/>
      <c r="U204" s="66" t="s">
        <v>985</v>
      </c>
      <c r="V204" s="65">
        <v>-1560</v>
      </c>
      <c r="W204" s="35" t="s">
        <v>988</v>
      </c>
      <c r="Z204" s="66" t="s">
        <v>535</v>
      </c>
      <c r="AA204" s="65">
        <v>-1560</v>
      </c>
      <c r="AB204" s="66" t="s">
        <v>536</v>
      </c>
    </row>
    <row r="205" spans="1:28" x14ac:dyDescent="0.25">
      <c r="A205" s="32" t="s">
        <v>537</v>
      </c>
      <c r="B205" s="6" t="s">
        <v>234</v>
      </c>
      <c r="C205" s="6" t="s">
        <v>538</v>
      </c>
      <c r="D205" s="32" t="s">
        <v>539</v>
      </c>
      <c r="E205" s="33">
        <v>-3000</v>
      </c>
      <c r="F205" s="181">
        <v>0</v>
      </c>
      <c r="G205" s="181">
        <v>0</v>
      </c>
      <c r="H205" s="181">
        <v>0</v>
      </c>
      <c r="I205" s="240"/>
      <c r="J205" s="181">
        <v>0</v>
      </c>
      <c r="K205" s="33">
        <v>0</v>
      </c>
      <c r="L205" s="127">
        <v>0</v>
      </c>
      <c r="M205" s="156">
        <v>-1000</v>
      </c>
      <c r="N205" s="156">
        <v>-1000</v>
      </c>
      <c r="O205" s="156">
        <v>0</v>
      </c>
      <c r="P205" s="156">
        <v>0</v>
      </c>
      <c r="Q205" s="128">
        <f>R205/2</f>
        <v>0</v>
      </c>
      <c r="R205" s="128">
        <v>0</v>
      </c>
      <c r="S205" s="276"/>
      <c r="U205" s="338" t="s">
        <v>984</v>
      </c>
      <c r="V205" s="339">
        <v>-1700</v>
      </c>
      <c r="W205" s="340" t="s">
        <v>972</v>
      </c>
      <c r="Z205" s="66" t="s">
        <v>540</v>
      </c>
      <c r="AA205" s="65">
        <v>-1331.2</v>
      </c>
      <c r="AB205" s="66" t="s">
        <v>541</v>
      </c>
    </row>
    <row r="206" spans="1:28" x14ac:dyDescent="0.25">
      <c r="A206" s="32" t="s">
        <v>542</v>
      </c>
      <c r="B206" s="6" t="s">
        <v>234</v>
      </c>
      <c r="C206" s="6" t="s">
        <v>543</v>
      </c>
      <c r="D206" s="32" t="s">
        <v>544</v>
      </c>
      <c r="E206" s="33">
        <f>-4154.96-15845.04</f>
        <v>-20000</v>
      </c>
      <c r="F206" s="181">
        <v>0</v>
      </c>
      <c r="G206" s="181">
        <v>-657.69</v>
      </c>
      <c r="H206" s="181">
        <v>-657.69</v>
      </c>
      <c r="I206" s="33">
        <f>-657.69-255.56-128.41-142.13</f>
        <v>-1183.79</v>
      </c>
      <c r="J206" s="33">
        <v>-657.69</v>
      </c>
      <c r="K206" s="33">
        <f>-198.95-158.62-141.86-158.26-255.56-128.41-142.13</f>
        <v>-1183.79</v>
      </c>
      <c r="L206" s="293">
        <f>-1900-18841.06</f>
        <v>-20741.060000000001</v>
      </c>
      <c r="M206" s="147">
        <v>-3000</v>
      </c>
      <c r="N206" s="147">
        <v>-3000</v>
      </c>
      <c r="O206" s="128">
        <v>-6630.51</v>
      </c>
      <c r="P206" s="317">
        <v>-1037.1300000000001</v>
      </c>
      <c r="Q206" s="128">
        <f>R206/2</f>
        <v>-1500</v>
      </c>
      <c r="R206" s="132">
        <v>-3000</v>
      </c>
      <c r="S206" s="308" t="s">
        <v>1085</v>
      </c>
      <c r="U206" s="338" t="s">
        <v>984</v>
      </c>
      <c r="V206" s="339">
        <v>-406.14</v>
      </c>
      <c r="W206" s="340" t="s">
        <v>986</v>
      </c>
      <c r="Z206" s="66" t="s">
        <v>531</v>
      </c>
      <c r="AA206" s="65">
        <v>-621.36</v>
      </c>
      <c r="AB206" s="66" t="s">
        <v>532</v>
      </c>
    </row>
    <row r="207" spans="1:28" x14ac:dyDescent="0.25">
      <c r="A207" s="23" t="s">
        <v>775</v>
      </c>
      <c r="B207" s="24"/>
      <c r="C207" s="24"/>
      <c r="D207" s="23" t="s">
        <v>776</v>
      </c>
      <c r="E207" s="61">
        <f>SUM(E208:E216)</f>
        <v>0</v>
      </c>
      <c r="F207" s="61">
        <f>SUM(F208:F216)</f>
        <v>0</v>
      </c>
      <c r="G207" s="61">
        <f>SUM(G208:G216)</f>
        <v>0</v>
      </c>
      <c r="H207" s="61">
        <f>SUM(H208:H216)</f>
        <v>0</v>
      </c>
      <c r="I207" s="61"/>
      <c r="J207" s="61">
        <f>SUM(J208:J216)</f>
        <v>0</v>
      </c>
      <c r="K207" s="61">
        <f>SUM(K208:K216)</f>
        <v>0</v>
      </c>
      <c r="L207" s="61">
        <f>SUM(L208:L216)</f>
        <v>0</v>
      </c>
      <c r="M207" s="61">
        <f>SUM(M208:M216)</f>
        <v>-71035.399999999994</v>
      </c>
      <c r="N207" s="61">
        <f>SUM(N208:N214)</f>
        <v>-101035.4</v>
      </c>
      <c r="O207" s="61">
        <f t="shared" ref="O207:Q207" si="99">SUM(O208:O213)</f>
        <v>-43525.479999999996</v>
      </c>
      <c r="P207" s="61">
        <f t="shared" si="99"/>
        <v>-16708.669999999998</v>
      </c>
      <c r="Q207" s="61">
        <f t="shared" si="99"/>
        <v>-14310.035</v>
      </c>
      <c r="R207" s="61">
        <f>SUM(R208:R213)</f>
        <v>-44120.07</v>
      </c>
      <c r="S207" s="273"/>
      <c r="U207" s="338" t="s">
        <v>973</v>
      </c>
      <c r="V207" s="339">
        <v>-250</v>
      </c>
      <c r="W207" s="340" t="s">
        <v>987</v>
      </c>
      <c r="Z207" s="66" t="s">
        <v>535</v>
      </c>
      <c r="AA207" s="65">
        <v>-1560</v>
      </c>
      <c r="AB207" s="66" t="s">
        <v>536</v>
      </c>
    </row>
    <row r="208" spans="1:28" x14ac:dyDescent="0.25">
      <c r="A208" s="32"/>
      <c r="B208" s="6" t="s">
        <v>891</v>
      </c>
      <c r="C208" s="6" t="s">
        <v>892</v>
      </c>
      <c r="D208" s="32" t="s">
        <v>777</v>
      </c>
      <c r="E208" s="33"/>
      <c r="F208" s="181"/>
      <c r="G208" s="181"/>
      <c r="H208" s="181"/>
      <c r="I208" s="240"/>
      <c r="J208" s="181"/>
      <c r="K208" s="33"/>
      <c r="L208" s="127"/>
      <c r="M208" s="182">
        <f>-11680-652</f>
        <v>-12332</v>
      </c>
      <c r="N208" s="182">
        <f>-11680-652</f>
        <v>-12332</v>
      </c>
      <c r="O208" s="182">
        <v>-21299.26</v>
      </c>
      <c r="P208" s="182">
        <v>-12451.22</v>
      </c>
      <c r="Q208" s="128">
        <f>R208/2</f>
        <v>-7225.61</v>
      </c>
      <c r="R208" s="132">
        <f>P208-2000</f>
        <v>-14451.22</v>
      </c>
      <c r="S208" s="308" t="s">
        <v>991</v>
      </c>
      <c r="T208" s="161" t="s">
        <v>778</v>
      </c>
      <c r="U208" s="338" t="s">
        <v>481</v>
      </c>
      <c r="V208" s="339">
        <v>-4000</v>
      </c>
      <c r="W208" s="340" t="s">
        <v>974</v>
      </c>
      <c r="X208" s="161"/>
      <c r="Z208" s="66" t="s">
        <v>540</v>
      </c>
      <c r="AA208" s="65">
        <v>-1331.2</v>
      </c>
      <c r="AB208" s="66" t="s">
        <v>541</v>
      </c>
    </row>
    <row r="209" spans="1:28" x14ac:dyDescent="0.25">
      <c r="A209" s="32"/>
      <c r="B209" s="6" t="s">
        <v>891</v>
      </c>
      <c r="C209" s="6" t="s">
        <v>893</v>
      </c>
      <c r="D209" s="32" t="s">
        <v>779</v>
      </c>
      <c r="E209" s="33"/>
      <c r="F209" s="181"/>
      <c r="G209" s="181"/>
      <c r="H209" s="181"/>
      <c r="I209" s="240"/>
      <c r="J209" s="181"/>
      <c r="K209" s="33"/>
      <c r="L209" s="127"/>
      <c r="M209" s="182">
        <f>-700*5</f>
        <v>-3500</v>
      </c>
      <c r="N209" s="182">
        <f>-700*5</f>
        <v>-3500</v>
      </c>
      <c r="O209" s="182">
        <v>-6333.65</v>
      </c>
      <c r="P209" s="182">
        <v>0</v>
      </c>
      <c r="Q209" s="128">
        <f>R209/2</f>
        <v>-1650</v>
      </c>
      <c r="R209" s="132">
        <v>-3300</v>
      </c>
      <c r="S209" s="308" t="s">
        <v>992</v>
      </c>
      <c r="T209" s="161"/>
      <c r="U209" s="66" t="s">
        <v>975</v>
      </c>
      <c r="V209" s="65">
        <v>-95.84</v>
      </c>
      <c r="W209" s="35" t="s">
        <v>976</v>
      </c>
      <c r="X209" s="161"/>
      <c r="Z209" s="66" t="s">
        <v>531</v>
      </c>
      <c r="AA209" s="65">
        <v>-621.36</v>
      </c>
      <c r="AB209" s="66" t="s">
        <v>532</v>
      </c>
    </row>
    <row r="210" spans="1:28" x14ac:dyDescent="0.25">
      <c r="A210" s="32"/>
      <c r="B210" s="6" t="s">
        <v>891</v>
      </c>
      <c r="C210" s="6" t="s">
        <v>894</v>
      </c>
      <c r="D210" s="32" t="s">
        <v>780</v>
      </c>
      <c r="E210" s="33"/>
      <c r="F210" s="181"/>
      <c r="G210" s="181"/>
      <c r="H210" s="181"/>
      <c r="I210" s="240"/>
      <c r="J210" s="181"/>
      <c r="K210" s="33"/>
      <c r="L210" s="127"/>
      <c r="M210" s="182">
        <v>-3500</v>
      </c>
      <c r="N210" s="182">
        <v>-3500</v>
      </c>
      <c r="O210" s="182">
        <v>-2643.61</v>
      </c>
      <c r="P210" s="182">
        <v>0</v>
      </c>
      <c r="Q210" s="128">
        <f>R210/2</f>
        <v>-1727.5</v>
      </c>
      <c r="R210" s="132">
        <v>-3455</v>
      </c>
      <c r="S210" s="308" t="s">
        <v>993</v>
      </c>
      <c r="T210" s="161"/>
      <c r="U210" s="338" t="s">
        <v>978</v>
      </c>
      <c r="V210" s="339">
        <v>-500</v>
      </c>
      <c r="W210" s="340" t="s">
        <v>977</v>
      </c>
      <c r="X210" s="161"/>
      <c r="Z210" s="66" t="s">
        <v>535</v>
      </c>
      <c r="AA210" s="65">
        <v>-1560</v>
      </c>
      <c r="AB210" s="66" t="s">
        <v>536</v>
      </c>
    </row>
    <row r="211" spans="1:28" x14ac:dyDescent="0.25">
      <c r="A211" s="32"/>
      <c r="B211" s="6" t="s">
        <v>891</v>
      </c>
      <c r="C211" s="6" t="s">
        <v>895</v>
      </c>
      <c r="D211" s="32" t="s">
        <v>783</v>
      </c>
      <c r="E211" s="33"/>
      <c r="F211" s="181"/>
      <c r="G211" s="181"/>
      <c r="H211" s="181"/>
      <c r="I211" s="240"/>
      <c r="J211" s="181"/>
      <c r="K211" s="59"/>
      <c r="L211" s="127"/>
      <c r="M211" s="132">
        <f>-13406.8/2</f>
        <v>-6703.4</v>
      </c>
      <c r="N211" s="132">
        <f>-13406.8/2</f>
        <v>-6703.4</v>
      </c>
      <c r="O211" s="132">
        <v>-13248.96</v>
      </c>
      <c r="P211" s="318">
        <v>-4183.8500000000004</v>
      </c>
      <c r="Q211" s="128">
        <f>R211/2</f>
        <v>-3706.9250000000002</v>
      </c>
      <c r="R211" s="132">
        <f>P211-1230-2000</f>
        <v>-7413.85</v>
      </c>
      <c r="S211" s="308" t="s">
        <v>995</v>
      </c>
      <c r="T211" s="161"/>
      <c r="U211" s="66" t="s">
        <v>979</v>
      </c>
      <c r="V211" s="65">
        <v>-20000</v>
      </c>
      <c r="W211" s="35" t="s">
        <v>989</v>
      </c>
      <c r="X211" s="161"/>
      <c r="Z211" s="66" t="s">
        <v>548</v>
      </c>
      <c r="AA211" s="65">
        <v>-10950</v>
      </c>
      <c r="AB211" s="66" t="s">
        <v>549</v>
      </c>
    </row>
    <row r="212" spans="1:28" x14ac:dyDescent="0.25">
      <c r="A212" s="32"/>
      <c r="B212" s="6" t="s">
        <v>891</v>
      </c>
      <c r="C212" s="6" t="s">
        <v>896</v>
      </c>
      <c r="D212" s="32" t="s">
        <v>784</v>
      </c>
      <c r="E212" s="33"/>
      <c r="F212" s="181"/>
      <c r="G212" s="181"/>
      <c r="H212" s="181"/>
      <c r="I212" s="240"/>
      <c r="J212" s="181"/>
      <c r="K212" s="59"/>
      <c r="L212" s="127"/>
      <c r="M212" s="139">
        <v>-40000</v>
      </c>
      <c r="N212" s="296">
        <f>-40000</f>
        <v>-40000</v>
      </c>
      <c r="O212" s="296">
        <v>0</v>
      </c>
      <c r="P212" s="128">
        <v>-73.599999999999994</v>
      </c>
      <c r="Q212" s="128">
        <v>0</v>
      </c>
      <c r="R212" s="473">
        <f>-5000-5500</f>
        <v>-10500</v>
      </c>
      <c r="S212" s="308" t="s">
        <v>1071</v>
      </c>
      <c r="T212" s="161" t="s">
        <v>785</v>
      </c>
      <c r="U212" s="338" t="s">
        <v>980</v>
      </c>
      <c r="V212" s="339">
        <v>-250</v>
      </c>
      <c r="W212" s="340" t="s">
        <v>981</v>
      </c>
      <c r="X212" s="161"/>
      <c r="Z212" s="66" t="s">
        <v>552</v>
      </c>
      <c r="AA212" s="65">
        <v>-970</v>
      </c>
      <c r="AB212" s="66" t="s">
        <v>553</v>
      </c>
    </row>
    <row r="213" spans="1:28" x14ac:dyDescent="0.25">
      <c r="A213" s="32"/>
      <c r="B213" s="6" t="s">
        <v>891</v>
      </c>
      <c r="C213" s="402" t="s">
        <v>897</v>
      </c>
      <c r="D213" s="403" t="s">
        <v>934</v>
      </c>
      <c r="E213" s="404"/>
      <c r="F213" s="405"/>
      <c r="G213" s="405"/>
      <c r="H213" s="405"/>
      <c r="I213" s="406"/>
      <c r="J213" s="405"/>
      <c r="K213" s="407"/>
      <c r="L213" s="408"/>
      <c r="M213" s="409">
        <v>-5000</v>
      </c>
      <c r="N213" s="409">
        <v>-5000</v>
      </c>
      <c r="O213" s="409">
        <v>0</v>
      </c>
      <c r="P213" s="410">
        <v>0</v>
      </c>
      <c r="Q213" s="324">
        <v>0</v>
      </c>
      <c r="R213" s="307">
        <f>N213</f>
        <v>-5000</v>
      </c>
      <c r="S213" s="161" t="s">
        <v>1054</v>
      </c>
      <c r="U213" s="338" t="s">
        <v>982</v>
      </c>
      <c r="V213" s="339">
        <v>-2500</v>
      </c>
      <c r="W213" s="340" t="s">
        <v>983</v>
      </c>
      <c r="X213" s="161"/>
    </row>
    <row r="214" spans="1:28" hidden="1" x14ac:dyDescent="0.25">
      <c r="A214" s="32"/>
      <c r="B214" s="199"/>
      <c r="C214" s="379" t="s">
        <v>929</v>
      </c>
      <c r="D214" s="411" t="s">
        <v>935</v>
      </c>
      <c r="E214" s="381"/>
      <c r="F214" s="381"/>
      <c r="G214" s="381"/>
      <c r="H214" s="381"/>
      <c r="I214" s="381"/>
      <c r="J214" s="381"/>
      <c r="K214" s="381"/>
      <c r="L214" s="382"/>
      <c r="M214" s="412"/>
      <c r="N214" s="412">
        <v>-30000</v>
      </c>
      <c r="O214" s="412">
        <v>0</v>
      </c>
      <c r="P214" s="413">
        <v>0</v>
      </c>
      <c r="Q214" s="413">
        <f>R214/2</f>
        <v>0</v>
      </c>
      <c r="R214" s="433"/>
      <c r="S214" s="308" t="s">
        <v>1009</v>
      </c>
      <c r="T214" s="161"/>
      <c r="U214" s="161"/>
      <c r="V214" s="161"/>
      <c r="W214" s="161"/>
      <c r="X214" s="161"/>
    </row>
    <row r="215" spans="1:28" hidden="1" x14ac:dyDescent="0.25">
      <c r="A215" s="32"/>
      <c r="B215" s="199" t="s">
        <v>891</v>
      </c>
      <c r="C215" s="386" t="s">
        <v>930</v>
      </c>
      <c r="D215" s="414" t="s">
        <v>936</v>
      </c>
      <c r="E215" s="388"/>
      <c r="F215" s="388"/>
      <c r="G215" s="388"/>
      <c r="H215" s="388"/>
      <c r="I215" s="388"/>
      <c r="J215" s="388"/>
      <c r="K215" s="388"/>
      <c r="L215" s="389"/>
      <c r="M215" s="393">
        <f>L215/2</f>
        <v>0</v>
      </c>
      <c r="N215" s="393">
        <f>M215/2</f>
        <v>0</v>
      </c>
      <c r="O215" s="393">
        <v>0</v>
      </c>
      <c r="P215" s="415">
        <v>0</v>
      </c>
      <c r="Q215" s="393">
        <f>R215/2</f>
        <v>0</v>
      </c>
      <c r="R215" s="434"/>
      <c r="S215" s="308" t="s">
        <v>1009</v>
      </c>
      <c r="T215" s="161" t="s">
        <v>781</v>
      </c>
      <c r="U215" s="161"/>
      <c r="V215" s="161"/>
      <c r="W215" s="161"/>
      <c r="X215" s="161"/>
      <c r="Z215" s="66" t="s">
        <v>540</v>
      </c>
      <c r="AA215" s="65">
        <v>-1331.2</v>
      </c>
      <c r="AB215" s="66" t="s">
        <v>541</v>
      </c>
    </row>
    <row r="216" spans="1:28" hidden="1" x14ac:dyDescent="0.25">
      <c r="A216" s="32"/>
      <c r="B216" s="199" t="s">
        <v>891</v>
      </c>
      <c r="C216" s="386" t="s">
        <v>931</v>
      </c>
      <c r="D216" s="414" t="s">
        <v>937</v>
      </c>
      <c r="E216" s="388"/>
      <c r="F216" s="388"/>
      <c r="G216" s="388"/>
      <c r="H216" s="388"/>
      <c r="I216" s="388"/>
      <c r="J216" s="388"/>
      <c r="K216" s="388"/>
      <c r="L216" s="389"/>
      <c r="M216" s="393">
        <f>L216/2</f>
        <v>0</v>
      </c>
      <c r="N216" s="393">
        <f>M216/2</f>
        <v>0</v>
      </c>
      <c r="O216" s="393">
        <v>0</v>
      </c>
      <c r="P216" s="415">
        <v>0</v>
      </c>
      <c r="Q216" s="393">
        <f>R216/2</f>
        <v>0</v>
      </c>
      <c r="R216" s="434"/>
      <c r="S216" s="308" t="s">
        <v>1009</v>
      </c>
      <c r="T216" s="161" t="s">
        <v>782</v>
      </c>
      <c r="U216" s="161"/>
      <c r="V216" s="161"/>
      <c r="W216" s="161"/>
      <c r="X216" s="161"/>
      <c r="Z216" s="66" t="s">
        <v>540</v>
      </c>
      <c r="AA216" s="65">
        <v>-2080</v>
      </c>
      <c r="AB216" s="66" t="s">
        <v>545</v>
      </c>
    </row>
    <row r="217" spans="1:28" hidden="1" x14ac:dyDescent="0.25">
      <c r="A217" s="32"/>
      <c r="B217" s="199"/>
      <c r="C217" s="386" t="s">
        <v>932</v>
      </c>
      <c r="D217" s="414" t="s">
        <v>938</v>
      </c>
      <c r="E217" s="388"/>
      <c r="F217" s="388"/>
      <c r="G217" s="388"/>
      <c r="H217" s="388"/>
      <c r="I217" s="388"/>
      <c r="J217" s="388"/>
      <c r="K217" s="388"/>
      <c r="L217" s="389"/>
      <c r="M217" s="416"/>
      <c r="N217" s="393"/>
      <c r="O217" s="393">
        <v>0</v>
      </c>
      <c r="P217" s="415">
        <v>0</v>
      </c>
      <c r="Q217" s="393">
        <f>R217/2</f>
        <v>0</v>
      </c>
      <c r="R217" s="434"/>
      <c r="S217" s="308" t="s">
        <v>1009</v>
      </c>
      <c r="T217" s="161"/>
      <c r="U217" s="161"/>
      <c r="V217" s="161"/>
      <c r="W217" s="161"/>
      <c r="X217" s="161"/>
      <c r="Z217" s="184"/>
      <c r="AA217" s="185"/>
      <c r="AB217" s="184"/>
    </row>
    <row r="218" spans="1:28" ht="15.75" hidden="1" thickBot="1" x14ac:dyDescent="0.3">
      <c r="A218" s="32"/>
      <c r="B218" s="199" t="s">
        <v>891</v>
      </c>
      <c r="C218" s="396" t="s">
        <v>933</v>
      </c>
      <c r="D218" s="417" t="s">
        <v>939</v>
      </c>
      <c r="E218" s="398"/>
      <c r="F218" s="398"/>
      <c r="G218" s="398"/>
      <c r="H218" s="398"/>
      <c r="I218" s="398"/>
      <c r="J218" s="398"/>
      <c r="K218" s="398"/>
      <c r="L218" s="399"/>
      <c r="M218" s="418"/>
      <c r="N218" s="400"/>
      <c r="O218" s="400">
        <v>0</v>
      </c>
      <c r="P218" s="419">
        <v>0</v>
      </c>
      <c r="Q218" s="400">
        <f>R218/2</f>
        <v>0</v>
      </c>
      <c r="R218" s="435"/>
      <c r="S218" s="308" t="s">
        <v>1009</v>
      </c>
      <c r="U218" s="161"/>
      <c r="V218" s="161"/>
      <c r="W218" s="161"/>
      <c r="X218" s="161"/>
    </row>
    <row r="219" spans="1:28" x14ac:dyDescent="0.25">
      <c r="A219" s="23" t="s">
        <v>786</v>
      </c>
      <c r="B219" s="24"/>
      <c r="C219" s="24"/>
      <c r="D219" s="23" t="s">
        <v>787</v>
      </c>
      <c r="E219" s="61">
        <f>SUM(E220:E226)</f>
        <v>0</v>
      </c>
      <c r="F219" s="61">
        <f>SUM(F220:F226)</f>
        <v>0</v>
      </c>
      <c r="G219" s="61">
        <f>SUM(G220:G226)</f>
        <v>0</v>
      </c>
      <c r="H219" s="61">
        <f>SUM(H220:H226)</f>
        <v>0</v>
      </c>
      <c r="I219" s="61"/>
      <c r="J219" s="61">
        <f>SUM(J220:J226)</f>
        <v>0</v>
      </c>
      <c r="K219" s="61">
        <f>SUM(K220:K226)</f>
        <v>0</v>
      </c>
      <c r="L219" s="61">
        <f>SUM(L220:L226)</f>
        <v>0</v>
      </c>
      <c r="M219" s="61">
        <f>SUM(M220:M226)</f>
        <v>-76728</v>
      </c>
      <c r="N219" s="61">
        <f>SUM(N220:N226)</f>
        <v>-76728</v>
      </c>
      <c r="O219" s="61">
        <f t="shared" ref="O219:P219" si="100">SUM(O220:O222)</f>
        <v>-24581.34</v>
      </c>
      <c r="P219" s="61">
        <f t="shared" si="100"/>
        <v>-7819.64</v>
      </c>
      <c r="Q219" s="61">
        <f>SUM(Q220:Q222)</f>
        <v>-9071.6121999999996</v>
      </c>
      <c r="R219" s="61">
        <f>SUM(R220:R222)</f>
        <v>-26050.4244</v>
      </c>
      <c r="S219" s="273"/>
      <c r="U219" s="338"/>
      <c r="V219" s="339"/>
      <c r="W219" s="340"/>
      <c r="Z219" s="66"/>
      <c r="AA219" s="65"/>
      <c r="AB219" s="66"/>
    </row>
    <row r="220" spans="1:28" ht="15.75" thickBot="1" x14ac:dyDescent="0.3">
      <c r="A220" s="32"/>
      <c r="B220" s="6" t="s">
        <v>878</v>
      </c>
      <c r="C220" s="6" t="s">
        <v>879</v>
      </c>
      <c r="D220" s="32" t="s">
        <v>788</v>
      </c>
      <c r="E220" s="33"/>
      <c r="F220" s="181"/>
      <c r="G220" s="181"/>
      <c r="H220" s="181"/>
      <c r="I220" s="240"/>
      <c r="J220" s="181"/>
      <c r="K220" s="33"/>
      <c r="L220" s="127"/>
      <c r="M220" s="183">
        <v>-2000</v>
      </c>
      <c r="N220" s="183">
        <v>-2000</v>
      </c>
      <c r="O220" s="183">
        <v>-1446.82</v>
      </c>
      <c r="P220" s="341">
        <v>-1098.04</v>
      </c>
      <c r="Q220" s="324">
        <f>R220/2</f>
        <v>-1164.4122</v>
      </c>
      <c r="R220" s="360">
        <f>(P220-350-650)*1.11</f>
        <v>-2328.8244</v>
      </c>
      <c r="S220" s="350" t="s">
        <v>1047</v>
      </c>
    </row>
    <row r="221" spans="1:28" ht="13.9" customHeight="1" x14ac:dyDescent="0.25">
      <c r="A221" s="32"/>
      <c r="B221" s="6" t="s">
        <v>878</v>
      </c>
      <c r="C221" s="6" t="s">
        <v>880</v>
      </c>
      <c r="D221" s="304" t="s">
        <v>789</v>
      </c>
      <c r="E221" s="33"/>
      <c r="F221" s="181"/>
      <c r="G221" s="181"/>
      <c r="H221" s="181"/>
      <c r="I221" s="240"/>
      <c r="J221" s="181"/>
      <c r="K221" s="33"/>
      <c r="L221" s="127"/>
      <c r="M221" s="342">
        <f>-39000*0.25</f>
        <v>-9750</v>
      </c>
      <c r="N221" s="147">
        <f>-39000*0.25</f>
        <v>-9750</v>
      </c>
      <c r="O221" s="147">
        <v>-23134.52</v>
      </c>
      <c r="P221" s="320">
        <v>-6721.6</v>
      </c>
      <c r="Q221" s="128">
        <f>R221/12*4</f>
        <v>-7907.2</v>
      </c>
      <c r="R221" s="469">
        <f>P221-17000</f>
        <v>-23721.599999999999</v>
      </c>
      <c r="S221" s="308" t="s">
        <v>1066</v>
      </c>
      <c r="T221" s="750" t="s">
        <v>790</v>
      </c>
      <c r="U221" s="328"/>
      <c r="V221" s="328"/>
      <c r="W221" s="328"/>
      <c r="X221" s="328"/>
    </row>
    <row r="222" spans="1:28" ht="15.75" thickBot="1" x14ac:dyDescent="0.3">
      <c r="A222" s="32"/>
      <c r="B222" s="6" t="s">
        <v>878</v>
      </c>
      <c r="C222" s="362" t="s">
        <v>881</v>
      </c>
      <c r="D222" s="363" t="s">
        <v>791</v>
      </c>
      <c r="E222" s="364"/>
      <c r="F222" s="365"/>
      <c r="G222" s="365"/>
      <c r="H222" s="365"/>
      <c r="I222" s="366"/>
      <c r="J222" s="365"/>
      <c r="K222" s="364"/>
      <c r="L222" s="367"/>
      <c r="M222" s="368">
        <f>-23978-20000</f>
        <v>-43978</v>
      </c>
      <c r="N222" s="369">
        <v>-10000</v>
      </c>
      <c r="O222" s="370">
        <v>0</v>
      </c>
      <c r="P222" s="371">
        <v>0</v>
      </c>
      <c r="Q222" s="370">
        <f>R222/2</f>
        <v>0</v>
      </c>
      <c r="R222" s="372">
        <v>0</v>
      </c>
      <c r="S222" s="308"/>
      <c r="T222" s="750"/>
      <c r="U222" s="328"/>
      <c r="V222" s="328"/>
      <c r="W222" s="328"/>
      <c r="X222" s="328"/>
    </row>
    <row r="223" spans="1:28" x14ac:dyDescent="0.25">
      <c r="A223" s="32"/>
      <c r="B223" s="199" t="s">
        <v>878</v>
      </c>
      <c r="C223" s="379" t="s">
        <v>882</v>
      </c>
      <c r="D223" s="380" t="s">
        <v>744</v>
      </c>
      <c r="E223" s="381"/>
      <c r="F223" s="381"/>
      <c r="G223" s="381"/>
      <c r="H223" s="381"/>
      <c r="I223" s="381"/>
      <c r="J223" s="381"/>
      <c r="K223" s="381"/>
      <c r="L223" s="382"/>
      <c r="M223" s="383">
        <v>-10000</v>
      </c>
      <c r="N223" s="384">
        <v>-7000</v>
      </c>
      <c r="O223" s="384">
        <v>0</v>
      </c>
      <c r="P223" s="385">
        <v>-4484.58</v>
      </c>
      <c r="Q223" s="479">
        <f>R223/12*4</f>
        <v>-2989.72</v>
      </c>
      <c r="R223" s="480">
        <f>P223*2</f>
        <v>-8969.16</v>
      </c>
      <c r="S223" s="308" t="s">
        <v>990</v>
      </c>
      <c r="T223" t="s">
        <v>907</v>
      </c>
      <c r="Z223" s="184"/>
      <c r="AA223" s="185"/>
      <c r="AB223" s="184"/>
    </row>
    <row r="224" spans="1:28" x14ac:dyDescent="0.25">
      <c r="A224" s="172"/>
      <c r="B224" s="199" t="s">
        <v>878</v>
      </c>
      <c r="C224" s="386" t="s">
        <v>883</v>
      </c>
      <c r="D224" s="387" t="s">
        <v>745</v>
      </c>
      <c r="E224" s="388"/>
      <c r="F224" s="388"/>
      <c r="G224" s="388"/>
      <c r="H224" s="388"/>
      <c r="I224" s="388"/>
      <c r="J224" s="388"/>
      <c r="K224" s="388"/>
      <c r="L224" s="389"/>
      <c r="M224" s="390">
        <v>-11000</v>
      </c>
      <c r="N224" s="391">
        <v>-4000</v>
      </c>
      <c r="O224" s="391">
        <v>0</v>
      </c>
      <c r="P224" s="392">
        <v>-137.30000000000001</v>
      </c>
      <c r="Q224" s="481">
        <f>R224/12*4</f>
        <v>-91.533333333333346</v>
      </c>
      <c r="R224" s="482">
        <f>P224*2</f>
        <v>-274.60000000000002</v>
      </c>
      <c r="S224" s="308" t="s">
        <v>990</v>
      </c>
      <c r="T224" t="s">
        <v>907</v>
      </c>
      <c r="Y224" s="276"/>
      <c r="Z224" s="184"/>
      <c r="AA224" s="185"/>
      <c r="AB224" s="184"/>
    </row>
    <row r="225" spans="1:32" x14ac:dyDescent="0.25">
      <c r="A225" s="172"/>
      <c r="B225" s="199" t="s">
        <v>878</v>
      </c>
      <c r="C225" s="386" t="s">
        <v>905</v>
      </c>
      <c r="D225" s="387" t="s">
        <v>903</v>
      </c>
      <c r="E225" s="388"/>
      <c r="F225" s="388"/>
      <c r="G225" s="388"/>
      <c r="H225" s="388"/>
      <c r="I225" s="388"/>
      <c r="J225" s="388"/>
      <c r="K225" s="388"/>
      <c r="L225" s="389"/>
      <c r="M225" s="393"/>
      <c r="N225" s="394">
        <v>-43978</v>
      </c>
      <c r="O225" s="394">
        <v>0</v>
      </c>
      <c r="P225" s="395">
        <v>-1786.35</v>
      </c>
      <c r="Q225" s="481">
        <f>R225/12*4</f>
        <v>-1190.8999999999999</v>
      </c>
      <c r="R225" s="482">
        <f>P225*2</f>
        <v>-3572.7</v>
      </c>
      <c r="S225" s="308" t="s">
        <v>990</v>
      </c>
      <c r="T225" t="s">
        <v>907</v>
      </c>
      <c r="Z225" s="184"/>
      <c r="AA225" s="185"/>
      <c r="AB225" s="184"/>
    </row>
    <row r="226" spans="1:32" ht="15.75" thickBot="1" x14ac:dyDescent="0.3">
      <c r="A226" s="32"/>
      <c r="B226" s="199" t="s">
        <v>878</v>
      </c>
      <c r="C226" s="396" t="s">
        <v>906</v>
      </c>
      <c r="D226" s="397" t="s">
        <v>904</v>
      </c>
      <c r="E226" s="398"/>
      <c r="F226" s="398"/>
      <c r="G226" s="398"/>
      <c r="H226" s="398"/>
      <c r="I226" s="398"/>
      <c r="J226" s="398"/>
      <c r="K226" s="398"/>
      <c r="L226" s="399"/>
      <c r="M226" s="400"/>
      <c r="N226" s="400">
        <v>0</v>
      </c>
      <c r="O226" s="400">
        <v>0</v>
      </c>
      <c r="P226" s="401">
        <v>-728.36</v>
      </c>
      <c r="Q226" s="483">
        <f>R226/12*4</f>
        <v>-485.57333333333332</v>
      </c>
      <c r="R226" s="484">
        <f>P226*2</f>
        <v>-1456.72</v>
      </c>
      <c r="S226" s="308" t="s">
        <v>990</v>
      </c>
      <c r="T226" t="s">
        <v>907</v>
      </c>
      <c r="AD226" s="101" t="s">
        <v>557</v>
      </c>
      <c r="AE226" s="102"/>
      <c r="AF226" s="103"/>
    </row>
    <row r="227" spans="1:32" x14ac:dyDescent="0.25">
      <c r="A227" s="20" t="s">
        <v>546</v>
      </c>
      <c r="B227" s="21"/>
      <c r="C227" s="373"/>
      <c r="D227" s="374" t="s">
        <v>547</v>
      </c>
      <c r="E227" s="375">
        <f>E228+E246</f>
        <v>-126600</v>
      </c>
      <c r="F227" s="375">
        <f t="shared" ref="F227:N227" si="101">F228+F246</f>
        <v>-93855.6</v>
      </c>
      <c r="G227" s="375">
        <f t="shared" si="101"/>
        <v>-56611.53</v>
      </c>
      <c r="H227" s="375">
        <f t="shared" si="101"/>
        <v>-40337.47</v>
      </c>
      <c r="I227" s="376">
        <f>I228+I246</f>
        <v>-62633.119999999995</v>
      </c>
      <c r="J227" s="375">
        <f t="shared" si="101"/>
        <v>-52687.659999999996</v>
      </c>
      <c r="K227" s="375">
        <f t="shared" si="101"/>
        <v>-68548.14</v>
      </c>
      <c r="L227" s="377">
        <f>L228+L246</f>
        <v>-105375.31999999999</v>
      </c>
      <c r="M227" s="378">
        <f t="shared" si="101"/>
        <v>-232250</v>
      </c>
      <c r="N227" s="378">
        <f t="shared" si="101"/>
        <v>-235040.05</v>
      </c>
      <c r="O227" s="378">
        <f t="shared" ref="O227:Q227" si="102">O228+O246</f>
        <v>-183433.74000000002</v>
      </c>
      <c r="P227" s="378">
        <f t="shared" si="102"/>
        <v>-112980.09</v>
      </c>
      <c r="Q227" s="378">
        <f t="shared" si="102"/>
        <v>-117076.965</v>
      </c>
      <c r="R227" s="378">
        <f>R228+R246</f>
        <v>-234153.93</v>
      </c>
      <c r="S227" s="271"/>
      <c r="AD227" s="35" t="s">
        <v>562</v>
      </c>
      <c r="AE227" s="90">
        <v>1872</v>
      </c>
      <c r="AF227" s="91" t="s">
        <v>563</v>
      </c>
    </row>
    <row r="228" spans="1:32" x14ac:dyDescent="0.25">
      <c r="A228" s="23" t="s">
        <v>550</v>
      </c>
      <c r="B228" s="24"/>
      <c r="C228" s="24"/>
      <c r="D228" s="23" t="s">
        <v>551</v>
      </c>
      <c r="E228" s="186">
        <f t="shared" ref="E228:M228" si="103">SUM(E229:E244)</f>
        <v>-109700</v>
      </c>
      <c r="F228" s="186">
        <f t="shared" si="103"/>
        <v>-93855.6</v>
      </c>
      <c r="G228" s="186">
        <f t="shared" si="103"/>
        <v>-51671.53</v>
      </c>
      <c r="H228" s="186">
        <f t="shared" si="103"/>
        <v>-35397.47</v>
      </c>
      <c r="I228" s="241">
        <f>SUM(I229:I244)</f>
        <v>-57693.119999999995</v>
      </c>
      <c r="J228" s="186">
        <f t="shared" si="103"/>
        <v>-44237.659999999996</v>
      </c>
      <c r="K228" s="186">
        <f t="shared" si="103"/>
        <v>-63608.14</v>
      </c>
      <c r="L228" s="186">
        <f>SUM(L229:L244)</f>
        <v>-88475.319999999992</v>
      </c>
      <c r="M228" s="186">
        <f t="shared" si="103"/>
        <v>-215350</v>
      </c>
      <c r="N228" s="186">
        <f>SUM(N229:N245)</f>
        <v>-218140.05</v>
      </c>
      <c r="O228" s="186">
        <f t="shared" ref="O228:P228" si="104">SUM(O229:O245)</f>
        <v>-183433.74000000002</v>
      </c>
      <c r="P228" s="186">
        <f t="shared" si="104"/>
        <v>-108040.09</v>
      </c>
      <c r="Q228" s="186">
        <f>SUM(Q229:Q245)</f>
        <v>-108626.965</v>
      </c>
      <c r="R228" s="186">
        <f>SUM(R229:R245)</f>
        <v>-217253.93</v>
      </c>
      <c r="S228" s="273"/>
      <c r="U228" s="343">
        <v>2024</v>
      </c>
      <c r="AC228" t="s">
        <v>570</v>
      </c>
      <c r="AD228" s="35" t="s">
        <v>571</v>
      </c>
      <c r="AE228" s="90">
        <v>2600</v>
      </c>
      <c r="AF228" s="91"/>
    </row>
    <row r="229" spans="1:32" x14ac:dyDescent="0.25">
      <c r="A229" s="37" t="s">
        <v>554</v>
      </c>
      <c r="B229" s="6" t="s">
        <v>155</v>
      </c>
      <c r="C229" s="6" t="s">
        <v>555</v>
      </c>
      <c r="D229" s="133" t="s">
        <v>556</v>
      </c>
      <c r="E229" s="170">
        <v>-13500</v>
      </c>
      <c r="F229" s="170">
        <v>-13488.8</v>
      </c>
      <c r="G229" s="170">
        <v>-7028.7</v>
      </c>
      <c r="H229" s="170">
        <v>-3372.2</v>
      </c>
      <c r="I229" s="240">
        <f>-3372.2-3372.2</f>
        <v>-6744.4</v>
      </c>
      <c r="J229" s="170">
        <f t="shared" ref="J229:J242" si="105">L229*0.5</f>
        <v>-6750</v>
      </c>
      <c r="K229" s="128">
        <v>-10400.9</v>
      </c>
      <c r="L229" s="128">
        <v>-13500</v>
      </c>
      <c r="M229" s="128">
        <v>-13500</v>
      </c>
      <c r="N229" s="128">
        <v>-13500</v>
      </c>
      <c r="O229" s="318">
        <v>-13488.8</v>
      </c>
      <c r="P229" s="318">
        <v>-6744.4</v>
      </c>
      <c r="Q229" s="324">
        <f t="shared" ref="Q229:Q245" si="106">R229/2</f>
        <v>-6750</v>
      </c>
      <c r="R229" s="128">
        <f>N229</f>
        <v>-13500</v>
      </c>
      <c r="S229" s="269"/>
      <c r="U229" s="101" t="s">
        <v>557</v>
      </c>
      <c r="V229" s="102"/>
      <c r="W229" s="103"/>
      <c r="AD229" s="35" t="s">
        <v>577</v>
      </c>
      <c r="AE229" s="90">
        <v>5000</v>
      </c>
      <c r="AF229" s="91" t="s">
        <v>578</v>
      </c>
    </row>
    <row r="230" spans="1:32" x14ac:dyDescent="0.25">
      <c r="A230" s="32" t="s">
        <v>558</v>
      </c>
      <c r="B230" s="6" t="s">
        <v>155</v>
      </c>
      <c r="C230" s="6" t="s">
        <v>559</v>
      </c>
      <c r="D230" s="168" t="s">
        <v>560</v>
      </c>
      <c r="E230" s="128">
        <v>-7500</v>
      </c>
      <c r="F230" s="128">
        <v>-6999.2</v>
      </c>
      <c r="G230" s="128">
        <v>-3451.34</v>
      </c>
      <c r="H230" s="128">
        <v>-1716.83</v>
      </c>
      <c r="I230" s="33">
        <f>-1716.83-1734.51</f>
        <v>-3451.34</v>
      </c>
      <c r="J230" s="170">
        <f t="shared" si="105"/>
        <v>-3500</v>
      </c>
      <c r="K230" s="170">
        <v>-3451.34</v>
      </c>
      <c r="L230" s="128">
        <v>-7000</v>
      </c>
      <c r="M230" s="128">
        <v>-12000</v>
      </c>
      <c r="N230" s="128">
        <v>-12000</v>
      </c>
      <c r="O230" s="317">
        <v>-7000</v>
      </c>
      <c r="P230" s="317">
        <v>-5205.1499999999996</v>
      </c>
      <c r="Q230" s="324">
        <f t="shared" si="106"/>
        <v>-5500</v>
      </c>
      <c r="R230" s="128">
        <f>-2750*4</f>
        <v>-11000</v>
      </c>
      <c r="S230" s="269"/>
      <c r="T230" t="s">
        <v>530</v>
      </c>
      <c r="U230" s="35" t="s">
        <v>562</v>
      </c>
      <c r="V230" s="65">
        <f>4992/2</f>
        <v>2496</v>
      </c>
      <c r="W230" s="35" t="s">
        <v>1010</v>
      </c>
      <c r="AD230" s="35"/>
      <c r="AE230" s="187"/>
      <c r="AF230" s="35"/>
    </row>
    <row r="231" spans="1:32" x14ac:dyDescent="0.25">
      <c r="A231" s="37" t="s">
        <v>564</v>
      </c>
      <c r="B231" s="6" t="s">
        <v>155</v>
      </c>
      <c r="C231" s="6" t="s">
        <v>565</v>
      </c>
      <c r="D231" s="133" t="s">
        <v>566</v>
      </c>
      <c r="E231" s="170">
        <v>-12000</v>
      </c>
      <c r="F231" s="170">
        <v>-10366.209999999999</v>
      </c>
      <c r="G231" s="170">
        <v>0</v>
      </c>
      <c r="H231" s="170">
        <v>0</v>
      </c>
      <c r="I231" s="240">
        <v>0</v>
      </c>
      <c r="J231" s="188">
        <f t="shared" si="105"/>
        <v>-4736</v>
      </c>
      <c r="K231" s="128">
        <v>-1811.47</v>
      </c>
      <c r="L231" s="128">
        <f>-SUM(AE227:AE230)</f>
        <v>-9472</v>
      </c>
      <c r="M231" s="128">
        <v>-15000</v>
      </c>
      <c r="N231" s="128">
        <v>-15000</v>
      </c>
      <c r="O231" s="318">
        <v>-8966.64</v>
      </c>
      <c r="P231" s="318">
        <v>0</v>
      </c>
      <c r="Q231" s="324">
        <f t="shared" si="106"/>
        <v>-7543</v>
      </c>
      <c r="R231" s="128">
        <f>-SUM(V230:V233)</f>
        <v>-15086</v>
      </c>
      <c r="S231" s="274"/>
      <c r="T231" t="s">
        <v>530</v>
      </c>
      <c r="U231" s="35" t="s">
        <v>571</v>
      </c>
      <c r="V231" s="65">
        <v>2600</v>
      </c>
      <c r="W231" s="35" t="s">
        <v>1010</v>
      </c>
      <c r="Z231" s="101" t="s">
        <v>587</v>
      </c>
      <c r="AA231" s="102"/>
      <c r="AB231" s="103"/>
    </row>
    <row r="232" spans="1:32" x14ac:dyDescent="0.25">
      <c r="A232" s="32" t="s">
        <v>572</v>
      </c>
      <c r="B232" s="6" t="s">
        <v>155</v>
      </c>
      <c r="C232" s="6" t="s">
        <v>573</v>
      </c>
      <c r="D232" s="168" t="s">
        <v>574</v>
      </c>
      <c r="E232" s="128">
        <v>-10000</v>
      </c>
      <c r="F232" s="128">
        <v>-1058.08</v>
      </c>
      <c r="G232" s="128">
        <v>0</v>
      </c>
      <c r="H232" s="128">
        <v>0</v>
      </c>
      <c r="I232" s="33">
        <v>-4056</v>
      </c>
      <c r="J232" s="128">
        <f t="shared" si="105"/>
        <v>1872</v>
      </c>
      <c r="K232" s="170">
        <v>-4056</v>
      </c>
      <c r="L232" s="128">
        <f>SUM(V236:V237)</f>
        <v>3744</v>
      </c>
      <c r="M232" s="128">
        <v>-10000</v>
      </c>
      <c r="N232" s="128">
        <v>-10000</v>
      </c>
      <c r="O232" s="317">
        <v>-6493.57</v>
      </c>
      <c r="P232" s="317">
        <v>-3744</v>
      </c>
      <c r="Q232" s="324">
        <f t="shared" si="106"/>
        <v>-10872</v>
      </c>
      <c r="R232" s="215">
        <f>-2288-1456-3000-15000</f>
        <v>-21744</v>
      </c>
      <c r="S232" s="308" t="s">
        <v>1070</v>
      </c>
      <c r="U232" s="35" t="s">
        <v>577</v>
      </c>
      <c r="V232" s="65">
        <v>5000</v>
      </c>
      <c r="W232" s="35" t="s">
        <v>1011</v>
      </c>
      <c r="Z232" s="35" t="s">
        <v>592</v>
      </c>
      <c r="AA232" s="65">
        <v>125.33</v>
      </c>
      <c r="AB232" s="35" t="s">
        <v>593</v>
      </c>
      <c r="AC232" s="35"/>
    </row>
    <row r="233" spans="1:32" x14ac:dyDescent="0.25">
      <c r="A233" s="37" t="s">
        <v>579</v>
      </c>
      <c r="B233" s="6" t="s">
        <v>155</v>
      </c>
      <c r="C233" s="6" t="s">
        <v>580</v>
      </c>
      <c r="D233" s="133" t="s">
        <v>581</v>
      </c>
      <c r="E233" s="170">
        <v>-2600</v>
      </c>
      <c r="F233" s="170">
        <v>-2600</v>
      </c>
      <c r="G233" s="170">
        <v>-2600</v>
      </c>
      <c r="H233" s="170">
        <v>-2600</v>
      </c>
      <c r="I233" s="240">
        <v>-2600</v>
      </c>
      <c r="J233" s="170">
        <f t="shared" si="105"/>
        <v>-1300</v>
      </c>
      <c r="K233" s="128">
        <v>-2600</v>
      </c>
      <c r="L233" s="128">
        <f>H233</f>
        <v>-2600</v>
      </c>
      <c r="M233" s="128">
        <v>-3120</v>
      </c>
      <c r="N233" s="128">
        <v>-3120</v>
      </c>
      <c r="O233" s="318">
        <v>-3120</v>
      </c>
      <c r="P233" s="318">
        <v>-3120</v>
      </c>
      <c r="Q233" s="324">
        <f t="shared" si="106"/>
        <v>-1560</v>
      </c>
      <c r="R233" s="128">
        <f>O233</f>
        <v>-3120</v>
      </c>
      <c r="S233" s="274"/>
      <c r="U233" s="35" t="s">
        <v>1012</v>
      </c>
      <c r="V233" s="344">
        <v>4990</v>
      </c>
      <c r="W233" s="35" t="s">
        <v>1014</v>
      </c>
      <c r="Z233" s="35" t="s">
        <v>592</v>
      </c>
      <c r="AA233" s="90">
        <v>3112.26</v>
      </c>
      <c r="AB233" s="91" t="s">
        <v>597</v>
      </c>
      <c r="AC233" s="91" t="s">
        <v>563</v>
      </c>
    </row>
    <row r="234" spans="1:32" x14ac:dyDescent="0.25">
      <c r="A234" s="32" t="s">
        <v>583</v>
      </c>
      <c r="B234" s="6" t="s">
        <v>155</v>
      </c>
      <c r="C234" s="6" t="s">
        <v>584</v>
      </c>
      <c r="D234" s="168" t="s">
        <v>585</v>
      </c>
      <c r="E234" s="128">
        <v>-2000</v>
      </c>
      <c r="F234" s="128">
        <v>-844.6</v>
      </c>
      <c r="G234" s="128">
        <v>-264.33999999999997</v>
      </c>
      <c r="H234" s="128">
        <v>-126.64</v>
      </c>
      <c r="I234" s="33">
        <f>-126.64-137.7-78.77-245.9</f>
        <v>-589.01</v>
      </c>
      <c r="J234" s="188">
        <f t="shared" si="105"/>
        <v>-411.005</v>
      </c>
      <c r="K234" s="170">
        <v>-589.01</v>
      </c>
      <c r="L234" s="215">
        <v>-822.01</v>
      </c>
      <c r="M234" s="128">
        <v>-2000</v>
      </c>
      <c r="N234" s="128">
        <v>-2000</v>
      </c>
      <c r="O234" s="317">
        <v>-1483.58</v>
      </c>
      <c r="P234" s="317">
        <v>-876.2</v>
      </c>
      <c r="Q234" s="324">
        <f t="shared" si="106"/>
        <v>-1950</v>
      </c>
      <c r="R234" s="128">
        <f>-SUM(V240:V246)</f>
        <v>-3900</v>
      </c>
      <c r="S234" s="269"/>
      <c r="Y234" s="104"/>
      <c r="Z234" s="35" t="s">
        <v>622</v>
      </c>
      <c r="AA234" s="65">
        <v>286.77999999999997</v>
      </c>
      <c r="AB234" s="35" t="s">
        <v>623</v>
      </c>
      <c r="AC234" s="35"/>
    </row>
    <row r="235" spans="1:32" x14ac:dyDescent="0.25">
      <c r="A235" s="37" t="s">
        <v>588</v>
      </c>
      <c r="B235" s="6" t="s">
        <v>155</v>
      </c>
      <c r="C235" s="6" t="s">
        <v>589</v>
      </c>
      <c r="D235" s="133" t="s">
        <v>590</v>
      </c>
      <c r="E235" s="128">
        <v>-5000</v>
      </c>
      <c r="F235" s="128">
        <v>-4001.72</v>
      </c>
      <c r="G235" s="128">
        <v>-1366</v>
      </c>
      <c r="H235" s="128">
        <v>-1366</v>
      </c>
      <c r="I235" s="33">
        <v>-1366</v>
      </c>
      <c r="J235" s="188">
        <f t="shared" si="105"/>
        <v>-2000.86</v>
      </c>
      <c r="K235" s="128">
        <v>-1366</v>
      </c>
      <c r="L235" s="128">
        <f>F235</f>
        <v>-4001.72</v>
      </c>
      <c r="M235" s="128">
        <v>-15000</v>
      </c>
      <c r="N235" s="128">
        <v>-15000</v>
      </c>
      <c r="O235" s="318">
        <v>-9239.43</v>
      </c>
      <c r="P235" s="318">
        <v>-12915.9</v>
      </c>
      <c r="Q235" s="324">
        <f t="shared" si="106"/>
        <v>-8957.9500000000007</v>
      </c>
      <c r="R235" s="215">
        <f>P235-5000</f>
        <v>-17915.900000000001</v>
      </c>
      <c r="S235" s="308" t="s">
        <v>1061</v>
      </c>
      <c r="T235" t="s">
        <v>530</v>
      </c>
      <c r="U235" s="63" t="s">
        <v>561</v>
      </c>
      <c r="V235" s="87"/>
      <c r="W235" s="64"/>
      <c r="X235" s="104"/>
      <c r="Z235" s="35" t="s">
        <v>622</v>
      </c>
      <c r="AA235" s="65">
        <f>396.66</f>
        <v>396.66</v>
      </c>
      <c r="AB235" s="35" t="s">
        <v>628</v>
      </c>
      <c r="AC235" s="35"/>
    </row>
    <row r="236" spans="1:32" x14ac:dyDescent="0.25">
      <c r="A236" s="32" t="s">
        <v>594</v>
      </c>
      <c r="B236" s="6" t="s">
        <v>155</v>
      </c>
      <c r="C236" s="6" t="s">
        <v>595</v>
      </c>
      <c r="D236" s="168" t="s">
        <v>596</v>
      </c>
      <c r="E236" s="170">
        <v>-500</v>
      </c>
      <c r="F236" s="170">
        <v>0</v>
      </c>
      <c r="G236" s="170">
        <v>-6.55</v>
      </c>
      <c r="H236" s="170">
        <v>0</v>
      </c>
      <c r="I236" s="240">
        <v>-6.55</v>
      </c>
      <c r="J236" s="188">
        <f t="shared" si="105"/>
        <v>-8</v>
      </c>
      <c r="K236" s="170">
        <v>-6.55</v>
      </c>
      <c r="L236" s="128">
        <v>-16</v>
      </c>
      <c r="M236" s="128">
        <v>-500</v>
      </c>
      <c r="N236" s="128">
        <v>-500</v>
      </c>
      <c r="O236" s="317">
        <v>0</v>
      </c>
      <c r="P236" s="317">
        <v>-8.4499999999999993</v>
      </c>
      <c r="Q236" s="324">
        <f t="shared" si="106"/>
        <v>-50</v>
      </c>
      <c r="R236" s="128">
        <v>-100</v>
      </c>
      <c r="S236" s="269"/>
      <c r="U236" s="66" t="s">
        <v>568</v>
      </c>
      <c r="V236" s="65">
        <v>2288</v>
      </c>
      <c r="W236" s="66" t="s">
        <v>569</v>
      </c>
      <c r="Z236" s="35" t="s">
        <v>622</v>
      </c>
      <c r="AA236" s="65">
        <f>396.66</f>
        <v>396.66</v>
      </c>
      <c r="AB236" s="35" t="s">
        <v>632</v>
      </c>
      <c r="AC236" s="35"/>
    </row>
    <row r="237" spans="1:32" x14ac:dyDescent="0.25">
      <c r="A237" s="37" t="s">
        <v>598</v>
      </c>
      <c r="B237" s="6" t="s">
        <v>155</v>
      </c>
      <c r="C237" s="6" t="s">
        <v>599</v>
      </c>
      <c r="D237" s="133" t="s">
        <v>600</v>
      </c>
      <c r="E237" s="128">
        <v>-9000</v>
      </c>
      <c r="F237" s="128">
        <v>-6300.08</v>
      </c>
      <c r="G237" s="128">
        <v>-3393.82</v>
      </c>
      <c r="H237" s="128">
        <v>-3393.82</v>
      </c>
      <c r="I237" s="281">
        <f>-3393.82-326.8-124</f>
        <v>-3844.6200000000003</v>
      </c>
      <c r="J237" s="188">
        <f t="shared" si="105"/>
        <v>-5000</v>
      </c>
      <c r="K237" s="128">
        <v>-3453.37</v>
      </c>
      <c r="L237" s="128">
        <f>-5000-5000</f>
        <v>-10000</v>
      </c>
      <c r="M237" s="128">
        <v>-15000</v>
      </c>
      <c r="N237" s="128">
        <v>-15000</v>
      </c>
      <c r="O237" s="318">
        <v>-17585.060000000001</v>
      </c>
      <c r="P237" s="318">
        <v>-7189.95</v>
      </c>
      <c r="Q237" s="324">
        <f t="shared" si="106"/>
        <v>-17092.53</v>
      </c>
      <c r="R237" s="215">
        <f>O237-1600-2500-2500-10000</f>
        <v>-34185.06</v>
      </c>
      <c r="S237" s="269" t="s">
        <v>1084</v>
      </c>
      <c r="U237" s="66" t="s">
        <v>575</v>
      </c>
      <c r="V237" s="65">
        <v>1456</v>
      </c>
      <c r="W237" s="66" t="s">
        <v>576</v>
      </c>
      <c r="Z237" s="35" t="s">
        <v>622</v>
      </c>
      <c r="AA237" s="90">
        <f>396.66</f>
        <v>396.66</v>
      </c>
      <c r="AB237" s="91" t="s">
        <v>635</v>
      </c>
      <c r="AC237" s="91" t="s">
        <v>563</v>
      </c>
    </row>
    <row r="238" spans="1:32" x14ac:dyDescent="0.25">
      <c r="A238" s="32" t="s">
        <v>603</v>
      </c>
      <c r="B238" s="6" t="s">
        <v>155</v>
      </c>
      <c r="C238" s="6" t="s">
        <v>604</v>
      </c>
      <c r="D238" s="168" t="s">
        <v>605</v>
      </c>
      <c r="E238" s="170">
        <v>-28000</v>
      </c>
      <c r="F238" s="170">
        <v>-29813</v>
      </c>
      <c r="G238" s="170">
        <v>-25808.560000000001</v>
      </c>
      <c r="H238" s="170">
        <v>-17752.23</v>
      </c>
      <c r="I238" s="240">
        <v>-26155.91</v>
      </c>
      <c r="J238" s="188">
        <f t="shared" si="105"/>
        <v>-13654.28</v>
      </c>
      <c r="K238" s="170">
        <v>-25883.3</v>
      </c>
      <c r="L238" s="128">
        <f>G238-1500</f>
        <v>-27308.560000000001</v>
      </c>
      <c r="M238" s="128">
        <f>E238-12000</f>
        <v>-40000</v>
      </c>
      <c r="N238" s="128">
        <f>F238-12000</f>
        <v>-41813</v>
      </c>
      <c r="O238" s="317">
        <v>-39947.69</v>
      </c>
      <c r="P238" s="317">
        <v>-32751.35</v>
      </c>
      <c r="Q238" s="324">
        <f t="shared" si="106"/>
        <v>-18250</v>
      </c>
      <c r="R238" s="128">
        <v>-36500</v>
      </c>
      <c r="S238" s="308" t="s">
        <v>1040</v>
      </c>
      <c r="Z238" s="35" t="s">
        <v>622</v>
      </c>
      <c r="AA238" s="90">
        <f>396.66</f>
        <v>396.66</v>
      </c>
      <c r="AB238" s="91" t="s">
        <v>638</v>
      </c>
      <c r="AC238" s="91" t="s">
        <v>563</v>
      </c>
    </row>
    <row r="239" spans="1:32" x14ac:dyDescent="0.25">
      <c r="A239" s="37" t="s">
        <v>607</v>
      </c>
      <c r="B239" s="6" t="s">
        <v>155</v>
      </c>
      <c r="C239" s="6" t="s">
        <v>608</v>
      </c>
      <c r="D239" s="133" t="s">
        <v>609</v>
      </c>
      <c r="E239" s="170">
        <v>-1000</v>
      </c>
      <c r="F239" s="170">
        <v>0</v>
      </c>
      <c r="G239" s="170">
        <v>-307.69</v>
      </c>
      <c r="H239" s="128">
        <f>-270.93+38.1+8.49</f>
        <v>-224.34</v>
      </c>
      <c r="I239" s="33">
        <v>-293.85000000000002</v>
      </c>
      <c r="J239" s="132">
        <f t="shared" si="105"/>
        <v>-300</v>
      </c>
      <c r="K239" s="128">
        <v>-332.69</v>
      </c>
      <c r="L239" s="132">
        <v>-600</v>
      </c>
      <c r="M239" s="132">
        <v>-1000</v>
      </c>
      <c r="N239" s="132">
        <v>-1000</v>
      </c>
      <c r="O239" s="318">
        <v>0</v>
      </c>
      <c r="P239" s="318">
        <v>-385.7</v>
      </c>
      <c r="Q239" s="324">
        <f t="shared" si="106"/>
        <v>-485.7</v>
      </c>
      <c r="R239" s="128">
        <f>P239*2-200</f>
        <v>-971.4</v>
      </c>
      <c r="S239" s="272"/>
      <c r="T239" t="s">
        <v>530</v>
      </c>
      <c r="U239" s="63" t="s">
        <v>1026</v>
      </c>
      <c r="V239" s="87"/>
      <c r="W239" s="64"/>
      <c r="Z239" s="35" t="s">
        <v>622</v>
      </c>
      <c r="AA239" s="90">
        <f>396.66</f>
        <v>396.66</v>
      </c>
      <c r="AB239" s="91" t="s">
        <v>644</v>
      </c>
      <c r="AC239" s="91" t="s">
        <v>563</v>
      </c>
    </row>
    <row r="240" spans="1:32" x14ac:dyDescent="0.25">
      <c r="A240" s="37"/>
      <c r="B240" s="6" t="s">
        <v>155</v>
      </c>
      <c r="C240" s="6" t="s">
        <v>611</v>
      </c>
      <c r="D240" s="168" t="s">
        <v>612</v>
      </c>
      <c r="E240" s="170">
        <v>-6000</v>
      </c>
      <c r="F240" s="128">
        <v>-4202.8599999999997</v>
      </c>
      <c r="G240" s="170">
        <v>-808.77</v>
      </c>
      <c r="H240" s="128">
        <v>-125.33</v>
      </c>
      <c r="I240" s="33">
        <f>-125.33-324.63-449.02-449.02</f>
        <v>-1348</v>
      </c>
      <c r="J240" s="170">
        <f t="shared" si="105"/>
        <v>-2753.8349999999996</v>
      </c>
      <c r="K240" s="170">
        <v>-1205.43</v>
      </c>
      <c r="L240" s="128">
        <f>-SUM(AA232:AA240)</f>
        <v>-5507.6699999999992</v>
      </c>
      <c r="M240" s="128">
        <f>-27800-(396.66*12)-440.08</f>
        <v>-33000</v>
      </c>
      <c r="N240" s="128">
        <f>-27800-(396.66*12)-440.08</f>
        <v>-33000</v>
      </c>
      <c r="O240" s="317">
        <v>-35894.120000000003</v>
      </c>
      <c r="P240" s="317">
        <v>-20803.5</v>
      </c>
      <c r="Q240" s="324">
        <f t="shared" si="106"/>
        <v>-15278.945</v>
      </c>
      <c r="R240" s="128">
        <f>-((449.02*12)+(17211.34+((1852.77+100)*3)+(700*3)))</f>
        <v>-30557.89</v>
      </c>
      <c r="S240" s="308" t="s">
        <v>1034</v>
      </c>
      <c r="T240" s="284"/>
      <c r="U240" s="66" t="s">
        <v>1022</v>
      </c>
      <c r="V240" s="65">
        <v>93.12</v>
      </c>
      <c r="W240" s="66" t="s">
        <v>1027</v>
      </c>
    </row>
    <row r="241" spans="1:29" x14ac:dyDescent="0.25">
      <c r="A241" s="37"/>
      <c r="B241" s="6" t="s">
        <v>155</v>
      </c>
      <c r="C241" s="6" t="s">
        <v>614</v>
      </c>
      <c r="D241" s="168" t="s">
        <v>615</v>
      </c>
      <c r="E241" s="170">
        <v>-11520</v>
      </c>
      <c r="F241" s="128">
        <v>-13104</v>
      </c>
      <c r="G241" s="170">
        <v>-6005.76</v>
      </c>
      <c r="H241" s="170">
        <v>-4300.08</v>
      </c>
      <c r="I241" s="240">
        <f>-4300.08-927.36-778.32-601.68</f>
        <v>-6607.44</v>
      </c>
      <c r="J241" s="170">
        <f t="shared" si="105"/>
        <v>-5155.6799999999994</v>
      </c>
      <c r="K241" s="128">
        <v>-7612.08</v>
      </c>
      <c r="L241" s="128">
        <f>-SUM(AA250:AA262)</f>
        <v>-10311.359999999999</v>
      </c>
      <c r="M241" s="128">
        <f>-11520-980</f>
        <v>-12500</v>
      </c>
      <c r="N241" s="128">
        <f>-11520-980-980</f>
        <v>-13480</v>
      </c>
      <c r="O241" s="318">
        <v>-13692</v>
      </c>
      <c r="P241" s="318">
        <v>-7104.24</v>
      </c>
      <c r="Q241" s="324">
        <f t="shared" si="106"/>
        <v>-7302.12</v>
      </c>
      <c r="R241" s="128">
        <f>P241-5000-1000-1500</f>
        <v>-14604.24</v>
      </c>
      <c r="S241" s="308" t="s">
        <v>1039</v>
      </c>
      <c r="U241" s="66" t="s">
        <v>1023</v>
      </c>
      <c r="V241" s="65">
        <v>98</v>
      </c>
      <c r="W241" s="66" t="s">
        <v>1028</v>
      </c>
    </row>
    <row r="242" spans="1:29" x14ac:dyDescent="0.25">
      <c r="A242" s="37"/>
      <c r="B242" s="6" t="s">
        <v>155</v>
      </c>
      <c r="C242" s="6" t="s">
        <v>617</v>
      </c>
      <c r="D242" s="168" t="s">
        <v>618</v>
      </c>
      <c r="E242" s="170">
        <v>-1080</v>
      </c>
      <c r="F242" s="170">
        <v>-1077.05</v>
      </c>
      <c r="G242" s="170">
        <v>-630</v>
      </c>
      <c r="H242" s="170">
        <v>-420</v>
      </c>
      <c r="I242" s="240">
        <f>-420-210</f>
        <v>-630</v>
      </c>
      <c r="J242" s="170">
        <f t="shared" si="105"/>
        <v>-540</v>
      </c>
      <c r="K242" s="170">
        <v>-840</v>
      </c>
      <c r="L242" s="128">
        <f>E242</f>
        <v>-1080</v>
      </c>
      <c r="M242" s="128">
        <f>E242-1650</f>
        <v>-2730</v>
      </c>
      <c r="N242" s="128">
        <f>F242-1650</f>
        <v>-2727.05</v>
      </c>
      <c r="O242" s="317">
        <v>-2481.9</v>
      </c>
      <c r="P242" s="317">
        <v>-1050</v>
      </c>
      <c r="Q242" s="324">
        <f t="shared" si="106"/>
        <v>-1090</v>
      </c>
      <c r="R242" s="128">
        <f>-(420*2)-(210*4)-500</f>
        <v>-2180</v>
      </c>
      <c r="S242" s="269"/>
      <c r="U242" s="66" t="s">
        <v>1024</v>
      </c>
      <c r="V242" s="65">
        <v>458.93</v>
      </c>
      <c r="W242" s="66" t="s">
        <v>1029</v>
      </c>
    </row>
    <row r="243" spans="1:29" x14ac:dyDescent="0.25">
      <c r="A243" s="37"/>
      <c r="B243" s="6"/>
      <c r="C243" s="295" t="s">
        <v>792</v>
      </c>
      <c r="D243" s="323" t="s">
        <v>876</v>
      </c>
      <c r="E243" s="128"/>
      <c r="F243" s="128"/>
      <c r="G243" s="128"/>
      <c r="H243" s="128"/>
      <c r="I243" s="33"/>
      <c r="J243" s="128"/>
      <c r="K243" s="128"/>
      <c r="L243" s="128"/>
      <c r="M243" s="128">
        <v>-20000</v>
      </c>
      <c r="N243" s="312">
        <v>-20000</v>
      </c>
      <c r="O243" s="325">
        <v>0</v>
      </c>
      <c r="P243" s="325">
        <v>0</v>
      </c>
      <c r="Q243" s="324">
        <f t="shared" si="106"/>
        <v>0</v>
      </c>
      <c r="R243" s="312">
        <f>O243</f>
        <v>0</v>
      </c>
      <c r="S243" s="276"/>
    </row>
    <row r="244" spans="1:29" x14ac:dyDescent="0.25">
      <c r="A244" s="37"/>
      <c r="B244" s="6" t="s">
        <v>155</v>
      </c>
      <c r="C244" s="6" t="s">
        <v>793</v>
      </c>
      <c r="D244" s="168" t="s">
        <v>794</v>
      </c>
      <c r="E244" s="170"/>
      <c r="F244" s="170"/>
      <c r="G244" s="170"/>
      <c r="H244" s="170"/>
      <c r="I244" s="240"/>
      <c r="J244" s="170"/>
      <c r="K244" s="170"/>
      <c r="L244" s="128"/>
      <c r="M244" s="128">
        <f>-(1345+(62.5*50))-15530</f>
        <v>-20000</v>
      </c>
      <c r="N244" s="128">
        <f>-(1345+(62.5*50))-15530</f>
        <v>-20000</v>
      </c>
      <c r="O244" s="317">
        <v>-23354.01</v>
      </c>
      <c r="P244" s="317">
        <v>-6141.25</v>
      </c>
      <c r="Q244" s="324">
        <f t="shared" si="106"/>
        <v>-5601.25</v>
      </c>
      <c r="R244" s="215">
        <f>-6562.5-2640-2000</f>
        <v>-11202.5</v>
      </c>
      <c r="S244" s="308" t="s">
        <v>1067</v>
      </c>
      <c r="U244" s="66" t="s">
        <v>1025</v>
      </c>
      <c r="V244" s="65">
        <v>226.15</v>
      </c>
      <c r="W244" s="66" t="s">
        <v>1030</v>
      </c>
    </row>
    <row r="245" spans="1:29" x14ac:dyDescent="0.25">
      <c r="A245" s="37"/>
      <c r="B245" s="6"/>
      <c r="C245" s="6" t="s">
        <v>940</v>
      </c>
      <c r="D245" s="319" t="s">
        <v>941</v>
      </c>
      <c r="E245" s="321"/>
      <c r="F245" s="321"/>
      <c r="G245" s="321"/>
      <c r="H245" s="321"/>
      <c r="I245" s="240"/>
      <c r="J245" s="321"/>
      <c r="K245" s="321"/>
      <c r="L245" s="146"/>
      <c r="M245" s="322"/>
      <c r="N245" s="322">
        <v>0</v>
      </c>
      <c r="O245" s="318">
        <v>-686.94</v>
      </c>
      <c r="P245" s="318">
        <v>0</v>
      </c>
      <c r="Q245" s="324">
        <f t="shared" si="106"/>
        <v>-343.47</v>
      </c>
      <c r="R245" s="128">
        <f>O245</f>
        <v>-686.94</v>
      </c>
      <c r="S245" s="274"/>
      <c r="U245" s="347" t="s">
        <v>1023</v>
      </c>
      <c r="V245" s="332">
        <v>208</v>
      </c>
      <c r="W245" s="347" t="s">
        <v>1032</v>
      </c>
    </row>
    <row r="246" spans="1:29" x14ac:dyDescent="0.25">
      <c r="A246" s="23" t="s">
        <v>620</v>
      </c>
      <c r="B246" s="24"/>
      <c r="C246" s="24"/>
      <c r="D246" s="23" t="s">
        <v>621</v>
      </c>
      <c r="E246" s="189">
        <f t="shared" ref="E246:M246" si="107">SUM(E247:E248)</f>
        <v>-16900</v>
      </c>
      <c r="F246" s="189">
        <f t="shared" si="107"/>
        <v>0</v>
      </c>
      <c r="G246" s="189">
        <f t="shared" si="107"/>
        <v>-4940</v>
      </c>
      <c r="H246" s="189">
        <f t="shared" si="107"/>
        <v>-4940</v>
      </c>
      <c r="I246" s="241">
        <f>SUM(I247:I248)</f>
        <v>-4940</v>
      </c>
      <c r="J246" s="189">
        <f t="shared" si="107"/>
        <v>-8450</v>
      </c>
      <c r="K246" s="189">
        <f t="shared" si="107"/>
        <v>-4940</v>
      </c>
      <c r="L246" s="190">
        <f>SUM(L247:L248)</f>
        <v>-16900</v>
      </c>
      <c r="M246" s="191">
        <f t="shared" si="107"/>
        <v>-16900</v>
      </c>
      <c r="N246" s="186">
        <f>SUM(N247:N248)</f>
        <v>-16900</v>
      </c>
      <c r="O246" s="186">
        <f t="shared" ref="O246:Q246" si="108">SUM(O247:O248)</f>
        <v>0</v>
      </c>
      <c r="P246" s="186">
        <f t="shared" si="108"/>
        <v>-4940</v>
      </c>
      <c r="Q246" s="186">
        <f t="shared" si="108"/>
        <v>-8450</v>
      </c>
      <c r="R246" s="186">
        <f>SUM(R247:R248)</f>
        <v>-16900</v>
      </c>
      <c r="S246" s="273"/>
      <c r="U246" s="347" t="s">
        <v>1031</v>
      </c>
      <c r="V246" s="332">
        <v>2815.8</v>
      </c>
      <c r="W246" s="347" t="s">
        <v>1033</v>
      </c>
    </row>
    <row r="247" spans="1:29" x14ac:dyDescent="0.25">
      <c r="A247" s="37" t="s">
        <v>624</v>
      </c>
      <c r="B247" s="6" t="s">
        <v>625</v>
      </c>
      <c r="C247" s="6" t="s">
        <v>626</v>
      </c>
      <c r="D247" s="133" t="s">
        <v>627</v>
      </c>
      <c r="E247" s="170">
        <v>-7020</v>
      </c>
      <c r="F247" s="170">
        <v>0</v>
      </c>
      <c r="G247" s="170">
        <v>0</v>
      </c>
      <c r="H247" s="170">
        <v>0</v>
      </c>
      <c r="I247" s="240"/>
      <c r="J247" s="170">
        <f>L247*0.5</f>
        <v>-3510</v>
      </c>
      <c r="K247" s="170">
        <v>0</v>
      </c>
      <c r="L247" s="128">
        <f>E247</f>
        <v>-7020</v>
      </c>
      <c r="M247" s="128">
        <f>E247</f>
        <v>-7020</v>
      </c>
      <c r="N247" s="128">
        <v>-7020</v>
      </c>
      <c r="O247" s="128">
        <v>0</v>
      </c>
      <c r="P247" s="128">
        <v>0</v>
      </c>
      <c r="Q247" s="128">
        <f>R247/2</f>
        <v>-3510</v>
      </c>
      <c r="R247" s="128">
        <f>N247</f>
        <v>-7020</v>
      </c>
      <c r="S247" s="269"/>
    </row>
    <row r="248" spans="1:29" x14ac:dyDescent="0.25">
      <c r="A248" s="32" t="s">
        <v>629</v>
      </c>
      <c r="B248" s="6" t="s">
        <v>625</v>
      </c>
      <c r="C248" s="6" t="s">
        <v>630</v>
      </c>
      <c r="D248" s="168" t="s">
        <v>631</v>
      </c>
      <c r="E248" s="128">
        <v>-9880</v>
      </c>
      <c r="F248" s="128">
        <v>0</v>
      </c>
      <c r="G248" s="128">
        <v>-4940</v>
      </c>
      <c r="H248" s="128">
        <v>-4940</v>
      </c>
      <c r="I248" s="33">
        <v>-4940</v>
      </c>
      <c r="J248" s="170">
        <f>L248*0.5</f>
        <v>-4940</v>
      </c>
      <c r="K248" s="128">
        <v>-4940</v>
      </c>
      <c r="L248" s="128">
        <f>E248</f>
        <v>-9880</v>
      </c>
      <c r="M248" s="128">
        <f>E248</f>
        <v>-9880</v>
      </c>
      <c r="N248" s="128">
        <v>-9880</v>
      </c>
      <c r="O248" s="128">
        <v>0</v>
      </c>
      <c r="P248" s="317">
        <v>-4940</v>
      </c>
      <c r="Q248" s="128">
        <f>R248/2</f>
        <v>-4940</v>
      </c>
      <c r="R248" s="128">
        <f>N248</f>
        <v>-9880</v>
      </c>
      <c r="S248" s="269"/>
    </row>
    <row r="249" spans="1:29" x14ac:dyDescent="0.25">
      <c r="A249" s="20" t="s">
        <v>633</v>
      </c>
      <c r="B249" s="21"/>
      <c r="C249" s="21"/>
      <c r="D249" s="192" t="s">
        <v>634</v>
      </c>
      <c r="E249" s="113">
        <v>0</v>
      </c>
      <c r="F249" s="113">
        <v>0</v>
      </c>
      <c r="G249" s="113">
        <v>0</v>
      </c>
      <c r="H249" s="113">
        <v>0</v>
      </c>
      <c r="I249" s="242">
        <v>0</v>
      </c>
      <c r="J249" s="113">
        <v>0</v>
      </c>
      <c r="K249" s="113">
        <v>0</v>
      </c>
      <c r="L249" s="113">
        <v>0</v>
      </c>
      <c r="M249" s="113">
        <v>0</v>
      </c>
      <c r="N249" s="113">
        <v>0</v>
      </c>
      <c r="O249" s="113">
        <v>0</v>
      </c>
      <c r="P249" s="113">
        <v>0</v>
      </c>
      <c r="Q249" s="113">
        <v>0</v>
      </c>
      <c r="R249" s="113">
        <v>0</v>
      </c>
      <c r="S249" s="271"/>
      <c r="T249" s="105"/>
      <c r="U249" s="105"/>
      <c r="V249" s="105"/>
      <c r="W249" s="105"/>
      <c r="X249" s="105"/>
      <c r="Y249" s="106">
        <f>L250+T249</f>
        <v>-744000</v>
      </c>
      <c r="Z249" s="101" t="s">
        <v>650</v>
      </c>
      <c r="AA249" s="102"/>
      <c r="AB249" s="103"/>
    </row>
    <row r="250" spans="1:29" x14ac:dyDescent="0.25">
      <c r="A250" s="20" t="s">
        <v>636</v>
      </c>
      <c r="B250" s="21"/>
      <c r="C250" s="21"/>
      <c r="D250" s="192" t="s">
        <v>637</v>
      </c>
      <c r="E250" s="113">
        <f t="shared" ref="E250:N250" si="109">SUM(E251:E252)</f>
        <v>-773000</v>
      </c>
      <c r="F250" s="113">
        <f t="shared" si="109"/>
        <v>0</v>
      </c>
      <c r="G250" s="113">
        <f t="shared" si="109"/>
        <v>-143163.84</v>
      </c>
      <c r="H250" s="113">
        <f t="shared" si="109"/>
        <v>0</v>
      </c>
      <c r="I250" s="242">
        <f>SUM(I251:I252)</f>
        <v>-396976.89999999997</v>
      </c>
      <c r="J250" s="113">
        <f t="shared" si="109"/>
        <v>-372000</v>
      </c>
      <c r="K250" s="113">
        <f t="shared" si="109"/>
        <v>-179634.17</v>
      </c>
      <c r="L250" s="193">
        <f>SUM(L251:L252)</f>
        <v>-744000</v>
      </c>
      <c r="M250" s="113">
        <f t="shared" si="109"/>
        <v>-1150000</v>
      </c>
      <c r="N250" s="113">
        <f t="shared" si="109"/>
        <v>-1150000</v>
      </c>
      <c r="O250" s="113">
        <f t="shared" ref="O250:Q250" si="110">SUM(O251:O252)</f>
        <v>0</v>
      </c>
      <c r="P250" s="113">
        <f t="shared" si="110"/>
        <v>-396403.11</v>
      </c>
      <c r="Q250" s="113">
        <f t="shared" si="110"/>
        <v>-575000</v>
      </c>
      <c r="R250" s="470">
        <f>SUM(R251:R252)</f>
        <v>-1150000</v>
      </c>
      <c r="S250" s="271"/>
      <c r="T250" s="105"/>
      <c r="U250" s="145"/>
      <c r="V250" s="145"/>
      <c r="W250" s="145"/>
      <c r="X250" s="145"/>
      <c r="Z250" s="35" t="s">
        <v>655</v>
      </c>
      <c r="AA250" s="65">
        <v>828</v>
      </c>
      <c r="AB250" s="35" t="s">
        <v>656</v>
      </c>
      <c r="AC250" s="35"/>
    </row>
    <row r="251" spans="1:29" x14ac:dyDescent="0.25">
      <c r="A251" s="37" t="s">
        <v>639</v>
      </c>
      <c r="B251" s="6" t="s">
        <v>640</v>
      </c>
      <c r="C251" s="6" t="s">
        <v>641</v>
      </c>
      <c r="D251" s="133" t="s">
        <v>642</v>
      </c>
      <c r="E251" s="170">
        <v>-734250</v>
      </c>
      <c r="F251" s="170">
        <v>0</v>
      </c>
      <c r="G251" s="170">
        <v>-143163.84</v>
      </c>
      <c r="H251" s="170">
        <v>0</v>
      </c>
      <c r="I251" s="240">
        <f>-397214.86+237.96</f>
        <v>-396976.89999999997</v>
      </c>
      <c r="J251" s="188">
        <f>L251*0.5</f>
        <v>-352625</v>
      </c>
      <c r="K251" s="170">
        <v>-179634.17</v>
      </c>
      <c r="L251" s="128">
        <f>E251+29000</f>
        <v>-705250</v>
      </c>
      <c r="M251" s="128">
        <v>-1150000</v>
      </c>
      <c r="N251" s="128">
        <f>-1150000</f>
        <v>-1150000</v>
      </c>
      <c r="O251" s="128"/>
      <c r="P251" s="128">
        <v>-396403.11</v>
      </c>
      <c r="Q251" s="307">
        <f>R251/2</f>
        <v>-575000</v>
      </c>
      <c r="R251" s="307">
        <v>-1150000</v>
      </c>
      <c r="S251" s="259" t="s">
        <v>1055</v>
      </c>
      <c r="T251" s="105"/>
      <c r="Z251" s="35" t="s">
        <v>655</v>
      </c>
      <c r="AA251" s="65">
        <v>850.08</v>
      </c>
      <c r="AB251" s="35" t="s">
        <v>660</v>
      </c>
      <c r="AC251" s="35"/>
    </row>
    <row r="252" spans="1:29" x14ac:dyDescent="0.25">
      <c r="A252" s="32" t="s">
        <v>645</v>
      </c>
      <c r="B252" s="6" t="s">
        <v>640</v>
      </c>
      <c r="C252" s="6" t="s">
        <v>646</v>
      </c>
      <c r="D252" s="168" t="s">
        <v>647</v>
      </c>
      <c r="E252" s="170">
        <v>-38750</v>
      </c>
      <c r="F252" s="170">
        <v>0</v>
      </c>
      <c r="G252" s="170">
        <v>0</v>
      </c>
      <c r="H252" s="170">
        <v>0</v>
      </c>
      <c r="I252" s="240"/>
      <c r="J252" s="188">
        <f>L252*0.5</f>
        <v>-19375</v>
      </c>
      <c r="K252" s="128">
        <v>0</v>
      </c>
      <c r="L252" s="128">
        <f>E252</f>
        <v>-38750</v>
      </c>
      <c r="M252" s="128"/>
      <c r="N252" s="128"/>
      <c r="O252" s="128"/>
      <c r="P252" s="128"/>
      <c r="Q252" s="307"/>
      <c r="R252" s="307"/>
      <c r="S252" s="269"/>
      <c r="Z252" s="35" t="s">
        <v>655</v>
      </c>
      <c r="AA252" s="65">
        <v>1092.96</v>
      </c>
      <c r="AB252" s="35" t="s">
        <v>664</v>
      </c>
      <c r="AC252" s="35"/>
    </row>
    <row r="253" spans="1:29" x14ac:dyDescent="0.25">
      <c r="A253" s="20" t="s">
        <v>648</v>
      </c>
      <c r="B253" s="21"/>
      <c r="C253" s="21"/>
      <c r="D253" s="192" t="s">
        <v>649</v>
      </c>
      <c r="E253" s="113">
        <f t="shared" ref="E253:Q253" si="111">SUM(E254:E257)</f>
        <v>-219180.34000000003</v>
      </c>
      <c r="F253" s="113">
        <f t="shared" si="111"/>
        <v>-296102.46000000002</v>
      </c>
      <c r="G253" s="113">
        <f t="shared" si="111"/>
        <v>-138657.65</v>
      </c>
      <c r="H253" s="113">
        <f t="shared" si="111"/>
        <v>-137958.15</v>
      </c>
      <c r="I253" s="250">
        <f>SUM(I254:I257)</f>
        <v>-142697.24</v>
      </c>
      <c r="J253" s="113">
        <f t="shared" si="111"/>
        <v>-112756.86</v>
      </c>
      <c r="K253" s="113">
        <f t="shared" si="111"/>
        <v>-150245.75</v>
      </c>
      <c r="L253" s="113">
        <f>SUM(L254:L257)</f>
        <v>-225513.72</v>
      </c>
      <c r="M253" s="113">
        <f t="shared" si="111"/>
        <v>-218488.48500803602</v>
      </c>
      <c r="N253" s="113">
        <f t="shared" si="111"/>
        <v>-225513.72</v>
      </c>
      <c r="O253" s="113">
        <f t="shared" si="111"/>
        <v>0</v>
      </c>
      <c r="P253" s="113">
        <f t="shared" si="111"/>
        <v>0</v>
      </c>
      <c r="Q253" s="113">
        <f t="shared" si="111"/>
        <v>-97833.56</v>
      </c>
      <c r="R253" s="113">
        <f>SUM(R254:R257)</f>
        <v>-210671.97</v>
      </c>
      <c r="S253" s="260" t="s">
        <v>829</v>
      </c>
      <c r="Z253" s="35" t="s">
        <v>655</v>
      </c>
      <c r="AA253" s="65">
        <v>739.68</v>
      </c>
      <c r="AB253" s="35" t="s">
        <v>668</v>
      </c>
      <c r="AC253" s="35"/>
    </row>
    <row r="254" spans="1:29" x14ac:dyDescent="0.25">
      <c r="A254" s="32" t="s">
        <v>651</v>
      </c>
      <c r="B254" s="62" t="s">
        <v>652</v>
      </c>
      <c r="C254" s="6" t="s">
        <v>653</v>
      </c>
      <c r="D254" s="168" t="s">
        <v>654</v>
      </c>
      <c r="E254" s="170">
        <f>-3991.86-9000</f>
        <v>-12991.86</v>
      </c>
      <c r="F254" s="170">
        <v>-2297.52</v>
      </c>
      <c r="G254" s="170">
        <v>-2266.3200000000002</v>
      </c>
      <c r="H254" s="170">
        <v>-2266.3200000000002</v>
      </c>
      <c r="I254" s="240">
        <v>-11651.41</v>
      </c>
      <c r="J254" s="128">
        <f>L254*0.5</f>
        <v>-11023.26</v>
      </c>
      <c r="K254" s="128">
        <v>-2593.12</v>
      </c>
      <c r="L254" s="128">
        <v>-22046.52</v>
      </c>
      <c r="M254" s="128">
        <v>-25926.312000000002</v>
      </c>
      <c r="N254" s="128">
        <v>-22046.52</v>
      </c>
      <c r="O254" s="128"/>
      <c r="P254" s="128"/>
      <c r="Q254" s="128">
        <v>-13541.16</v>
      </c>
      <c r="R254" s="128">
        <v>-27801.45</v>
      </c>
      <c r="S254" s="329"/>
      <c r="T254" t="s">
        <v>851</v>
      </c>
      <c r="Z254" s="35" t="s">
        <v>655</v>
      </c>
      <c r="AA254" s="65">
        <v>789.36</v>
      </c>
      <c r="AB254" s="35" t="s">
        <v>671</v>
      </c>
      <c r="AC254" s="35"/>
    </row>
    <row r="255" spans="1:29" x14ac:dyDescent="0.25">
      <c r="A255" s="37" t="s">
        <v>657</v>
      </c>
      <c r="B255" s="62" t="s">
        <v>652</v>
      </c>
      <c r="C255" s="6" t="s">
        <v>658</v>
      </c>
      <c r="D255" s="133" t="s">
        <v>659</v>
      </c>
      <c r="E255" s="170">
        <v>-206188.48</v>
      </c>
      <c r="F255" s="170">
        <v>-293804.94</v>
      </c>
      <c r="G255" s="170">
        <v>-136391.32999999999</v>
      </c>
      <c r="H255" s="170">
        <v>-135691.82999999999</v>
      </c>
      <c r="I255" s="240">
        <v>-131045.83</v>
      </c>
      <c r="J255" s="128">
        <f>L255*0.5</f>
        <v>-101733.6</v>
      </c>
      <c r="K255" s="170">
        <v>-147652.63</v>
      </c>
      <c r="L255" s="128">
        <v>-203467.2</v>
      </c>
      <c r="M255" s="128">
        <v>-192562.17300803601</v>
      </c>
      <c r="N255" s="128">
        <v>-203467.2</v>
      </c>
      <c r="O255" s="128"/>
      <c r="P255" s="128"/>
      <c r="Q255" s="128">
        <v>-84292.4</v>
      </c>
      <c r="R255" s="128">
        <v>-182870.52</v>
      </c>
      <c r="S255" s="308" t="s">
        <v>947</v>
      </c>
      <c r="T255" t="s">
        <v>852</v>
      </c>
      <c r="Z255" s="35" t="s">
        <v>655</v>
      </c>
      <c r="AA255" s="65">
        <v>927.36</v>
      </c>
      <c r="AB255" s="35" t="s">
        <v>674</v>
      </c>
      <c r="AC255" s="35"/>
    </row>
    <row r="256" spans="1:29" x14ac:dyDescent="0.25">
      <c r="A256" s="32" t="s">
        <v>661</v>
      </c>
      <c r="B256" s="62" t="s">
        <v>652</v>
      </c>
      <c r="C256" s="6" t="s">
        <v>662</v>
      </c>
      <c r="D256" s="168" t="s">
        <v>663</v>
      </c>
      <c r="E256" s="108"/>
      <c r="F256" s="108"/>
      <c r="G256" s="108"/>
      <c r="H256" s="108"/>
      <c r="I256" s="251"/>
      <c r="J256" s="108"/>
      <c r="K256" s="128">
        <v>0</v>
      </c>
      <c r="L256" s="108"/>
      <c r="M256" s="108"/>
      <c r="N256" s="108"/>
      <c r="O256" s="108"/>
      <c r="P256" s="108"/>
      <c r="Q256" s="108"/>
      <c r="R256" s="108"/>
      <c r="S256" s="277">
        <v>-182870.52</v>
      </c>
      <c r="Z256" s="35" t="s">
        <v>655</v>
      </c>
      <c r="AA256" s="65">
        <v>778.32</v>
      </c>
      <c r="AB256" s="35" t="s">
        <v>677</v>
      </c>
      <c r="AC256" s="35"/>
    </row>
    <row r="257" spans="1:29" x14ac:dyDescent="0.25">
      <c r="A257" s="37" t="s">
        <v>665</v>
      </c>
      <c r="B257" s="62" t="s">
        <v>652</v>
      </c>
      <c r="C257" s="6" t="s">
        <v>666</v>
      </c>
      <c r="D257" s="194" t="s">
        <v>667</v>
      </c>
      <c r="E257" s="195"/>
      <c r="F257" s="195"/>
      <c r="G257" s="195"/>
      <c r="H257" s="195"/>
      <c r="I257" s="251"/>
      <c r="J257" s="195"/>
      <c r="K257" s="196">
        <v>0</v>
      </c>
      <c r="L257" s="195"/>
      <c r="M257" s="195"/>
      <c r="N257" s="195"/>
      <c r="O257" s="195"/>
      <c r="P257" s="195"/>
      <c r="Q257" s="195"/>
      <c r="R257" s="195"/>
      <c r="S257" s="277">
        <v>-84292.4</v>
      </c>
      <c r="Z257" s="35" t="s">
        <v>655</v>
      </c>
      <c r="AA257" s="65">
        <v>601.67999999999995</v>
      </c>
      <c r="AB257" s="35" t="s">
        <v>795</v>
      </c>
      <c r="AC257" s="35"/>
    </row>
    <row r="258" spans="1:29" x14ac:dyDescent="0.25">
      <c r="A258" s="20" t="s">
        <v>669</v>
      </c>
      <c r="B258" s="21"/>
      <c r="C258" s="197"/>
      <c r="D258" s="198" t="s">
        <v>1081</v>
      </c>
      <c r="E258" s="113">
        <v>0</v>
      </c>
      <c r="F258" s="113">
        <v>0</v>
      </c>
      <c r="G258" s="113">
        <v>0</v>
      </c>
      <c r="H258" s="113">
        <v>0</v>
      </c>
      <c r="I258" s="242">
        <v>0</v>
      </c>
      <c r="J258" s="113">
        <v>0</v>
      </c>
      <c r="K258" s="113">
        <v>0</v>
      </c>
      <c r="L258" s="113">
        <v>0</v>
      </c>
      <c r="M258" s="113">
        <f>M259</f>
        <v>20000</v>
      </c>
      <c r="N258" s="113">
        <f>N259</f>
        <v>0</v>
      </c>
      <c r="O258" s="113">
        <f t="shared" ref="O258:P258" si="112">O259</f>
        <v>0</v>
      </c>
      <c r="P258" s="113">
        <f t="shared" si="112"/>
        <v>0</v>
      </c>
      <c r="Q258" s="113">
        <f>Q259+Q260</f>
        <v>74015.38</v>
      </c>
      <c r="R258" s="113">
        <f>R259+R260</f>
        <v>64842.33</v>
      </c>
      <c r="S258" s="271"/>
      <c r="Z258" s="35" t="s">
        <v>655</v>
      </c>
      <c r="AA258" s="65">
        <v>1004.64</v>
      </c>
      <c r="AB258" s="35" t="s">
        <v>796</v>
      </c>
      <c r="AC258" s="35"/>
    </row>
    <row r="259" spans="1:29" ht="26.25" x14ac:dyDescent="0.4">
      <c r="A259" s="304"/>
      <c r="B259" s="295" t="s">
        <v>902</v>
      </c>
      <c r="C259" s="6" t="s">
        <v>1077</v>
      </c>
      <c r="D259" s="305" t="s">
        <v>1075</v>
      </c>
      <c r="E259" s="296"/>
      <c r="F259" s="296"/>
      <c r="G259" s="296"/>
      <c r="H259" s="296"/>
      <c r="I259" s="296">
        <v>0</v>
      </c>
      <c r="J259" s="296"/>
      <c r="K259" s="296"/>
      <c r="L259" s="296"/>
      <c r="M259" s="296">
        <v>20000</v>
      </c>
      <c r="N259" s="296">
        <f>N224-N224</f>
        <v>0</v>
      </c>
      <c r="O259" s="296"/>
      <c r="P259" s="296"/>
      <c r="Q259" s="296">
        <f>74015.38</f>
        <v>74015.38</v>
      </c>
      <c r="R259" s="472">
        <v>64842.33</v>
      </c>
      <c r="S259" s="306" t="s">
        <v>1079</v>
      </c>
      <c r="T259" s="217"/>
      <c r="U259" s="217"/>
      <c r="V259" s="217"/>
      <c r="W259" s="217"/>
      <c r="X259" s="217"/>
      <c r="Z259" s="35" t="s">
        <v>655</v>
      </c>
      <c r="AA259" s="90">
        <v>977.04</v>
      </c>
      <c r="AB259" s="91" t="s">
        <v>688</v>
      </c>
      <c r="AC259" s="91" t="s">
        <v>563</v>
      </c>
    </row>
    <row r="260" spans="1:29" x14ac:dyDescent="0.25">
      <c r="A260" s="304"/>
      <c r="B260" s="295"/>
      <c r="C260" s="6" t="s">
        <v>1077</v>
      </c>
      <c r="D260" s="305" t="s">
        <v>1074</v>
      </c>
      <c r="E260" s="296"/>
      <c r="F260" s="296"/>
      <c r="G260" s="296"/>
      <c r="H260" s="296"/>
      <c r="I260" s="458"/>
      <c r="J260" s="296"/>
      <c r="K260" s="296"/>
      <c r="L260" s="296"/>
      <c r="M260" s="296"/>
      <c r="N260" s="296"/>
      <c r="O260" s="296"/>
      <c r="P260" s="296"/>
      <c r="Q260" s="296">
        <v>0</v>
      </c>
      <c r="R260" s="296">
        <v>0</v>
      </c>
      <c r="S260" s="306" t="s">
        <v>1080</v>
      </c>
      <c r="T260" s="217"/>
      <c r="U260" s="217"/>
      <c r="V260" s="217"/>
      <c r="W260" s="217"/>
      <c r="X260" s="217"/>
      <c r="Z260" s="35"/>
      <c r="AA260" s="90"/>
      <c r="AB260" s="91"/>
      <c r="AC260" s="91"/>
    </row>
    <row r="261" spans="1:29" x14ac:dyDescent="0.25">
      <c r="A261" s="20" t="s">
        <v>672</v>
      </c>
      <c r="B261" s="21"/>
      <c r="C261" s="197"/>
      <c r="D261" s="198" t="s">
        <v>673</v>
      </c>
      <c r="E261" s="113">
        <v>0</v>
      </c>
      <c r="F261" s="113">
        <v>0</v>
      </c>
      <c r="G261" s="113">
        <v>0</v>
      </c>
      <c r="H261" s="113">
        <v>0</v>
      </c>
      <c r="I261" s="242">
        <v>0</v>
      </c>
      <c r="J261" s="113">
        <v>0</v>
      </c>
      <c r="K261" s="113">
        <v>0</v>
      </c>
      <c r="L261" s="113">
        <v>0</v>
      </c>
      <c r="M261" s="113">
        <v>0</v>
      </c>
      <c r="N261" s="113">
        <v>0</v>
      </c>
      <c r="O261" s="113">
        <v>0</v>
      </c>
      <c r="P261" s="113">
        <v>0</v>
      </c>
      <c r="Q261" s="113">
        <v>0</v>
      </c>
      <c r="R261" s="113">
        <v>0</v>
      </c>
      <c r="S261" s="485"/>
      <c r="Z261" s="35" t="s">
        <v>655</v>
      </c>
      <c r="AA261" s="90">
        <v>805.92</v>
      </c>
      <c r="AB261" s="91" t="s">
        <v>692</v>
      </c>
      <c r="AC261" s="91" t="s">
        <v>563</v>
      </c>
    </row>
    <row r="262" spans="1:29" x14ac:dyDescent="0.25">
      <c r="A262" s="20" t="s">
        <v>675</v>
      </c>
      <c r="B262" s="21"/>
      <c r="C262" s="197"/>
      <c r="D262" s="198" t="s">
        <v>676</v>
      </c>
      <c r="E262" s="113">
        <v>0</v>
      </c>
      <c r="F262" s="113">
        <v>0</v>
      </c>
      <c r="G262" s="113">
        <v>0</v>
      </c>
      <c r="H262" s="113">
        <v>0</v>
      </c>
      <c r="I262" s="242">
        <v>0</v>
      </c>
      <c r="J262" s="113">
        <v>0</v>
      </c>
      <c r="K262" s="113">
        <v>0</v>
      </c>
      <c r="L262" s="113">
        <v>0</v>
      </c>
      <c r="M262" s="113">
        <v>0</v>
      </c>
      <c r="N262" s="113">
        <v>0</v>
      </c>
      <c r="O262" s="113">
        <v>0</v>
      </c>
      <c r="P262" s="113">
        <v>0</v>
      </c>
      <c r="Q262" s="113">
        <v>0</v>
      </c>
      <c r="R262" s="113">
        <v>0</v>
      </c>
      <c r="S262" s="271"/>
      <c r="Z262" s="35" t="s">
        <v>655</v>
      </c>
      <c r="AA262" s="90">
        <v>916.32</v>
      </c>
      <c r="AB262" s="91" t="s">
        <v>696</v>
      </c>
      <c r="AC262" s="91" t="s">
        <v>563</v>
      </c>
    </row>
    <row r="263" spans="1:29" x14ac:dyDescent="0.25">
      <c r="A263" s="20" t="s">
        <v>678</v>
      </c>
      <c r="B263" s="21"/>
      <c r="C263" s="197"/>
      <c r="D263" s="198" t="s">
        <v>679</v>
      </c>
      <c r="E263" s="113">
        <f>SUM(E264:E270)</f>
        <v>-5000</v>
      </c>
      <c r="F263" s="113">
        <f t="shared" ref="F263:N263" si="113">SUM(F264:F270)</f>
        <v>0</v>
      </c>
      <c r="G263" s="113">
        <f t="shared" si="113"/>
        <v>-206.79</v>
      </c>
      <c r="H263" s="113">
        <f t="shared" si="113"/>
        <v>-1514.43</v>
      </c>
      <c r="I263" s="113">
        <f>SUM(I264:I270)</f>
        <v>-2928.73</v>
      </c>
      <c r="J263" s="113">
        <f t="shared" si="113"/>
        <v>-1800.9</v>
      </c>
      <c r="K263" s="113">
        <f t="shared" si="113"/>
        <v>-229.98999999999998</v>
      </c>
      <c r="L263" s="113">
        <f t="shared" si="113"/>
        <v>-3601.78</v>
      </c>
      <c r="M263" s="113">
        <f t="shared" si="113"/>
        <v>-5000</v>
      </c>
      <c r="N263" s="113">
        <f t="shared" si="113"/>
        <v>-5000</v>
      </c>
      <c r="O263" s="113">
        <f t="shared" ref="O263:P263" si="114">SUM(O264:O270)</f>
        <v>0</v>
      </c>
      <c r="P263" s="113">
        <f t="shared" si="114"/>
        <v>-2306.13</v>
      </c>
      <c r="Q263" s="113">
        <f>SUM(Q264:Q270)</f>
        <v>-3008.33</v>
      </c>
      <c r="R263" s="113">
        <f>SUM(R264:R270)</f>
        <v>-6016.66</v>
      </c>
      <c r="S263" s="271">
        <f>+L263-I263</f>
        <v>-673.05000000000018</v>
      </c>
    </row>
    <row r="264" spans="1:29" x14ac:dyDescent="0.25">
      <c r="A264" s="32" t="s">
        <v>681</v>
      </c>
      <c r="B264" s="62" t="s">
        <v>155</v>
      </c>
      <c r="C264" s="199" t="s">
        <v>682</v>
      </c>
      <c r="D264" s="35" t="s">
        <v>683</v>
      </c>
      <c r="E264" s="128"/>
      <c r="F264" s="128">
        <v>0</v>
      </c>
      <c r="G264" s="128">
        <v>0</v>
      </c>
      <c r="H264" s="128">
        <v>-0.02</v>
      </c>
      <c r="I264" s="33">
        <v>-0.02</v>
      </c>
      <c r="J264" s="128">
        <v>-0.02</v>
      </c>
      <c r="K264" s="128">
        <v>0</v>
      </c>
      <c r="L264" s="128">
        <v>-0.02</v>
      </c>
      <c r="M264" s="128"/>
      <c r="N264" s="128"/>
      <c r="O264" s="128"/>
      <c r="P264" s="318">
        <v>-0.2</v>
      </c>
      <c r="Q264" s="128">
        <f t="shared" ref="Q264:Q270" si="115">R264/2</f>
        <v>-0.1</v>
      </c>
      <c r="R264" s="128">
        <v>-0.2</v>
      </c>
      <c r="S264" s="269" t="s">
        <v>850</v>
      </c>
    </row>
    <row r="265" spans="1:29" x14ac:dyDescent="0.25">
      <c r="A265" s="37" t="s">
        <v>685</v>
      </c>
      <c r="B265" s="62" t="s">
        <v>155</v>
      </c>
      <c r="C265" s="199" t="s">
        <v>686</v>
      </c>
      <c r="D265" s="200" t="s">
        <v>687</v>
      </c>
      <c r="E265" s="170"/>
      <c r="F265" s="170">
        <v>0</v>
      </c>
      <c r="G265" s="170">
        <v>-13.32</v>
      </c>
      <c r="H265" s="170">
        <f>-13.32-471.16</f>
        <v>-484.48</v>
      </c>
      <c r="I265" s="240">
        <v>-523.48</v>
      </c>
      <c r="J265" s="128">
        <f>L265/2</f>
        <v>-300</v>
      </c>
      <c r="K265" s="170">
        <v>-13.32</v>
      </c>
      <c r="L265" s="128">
        <v>-600</v>
      </c>
      <c r="M265" s="128"/>
      <c r="N265" s="128"/>
      <c r="O265" s="128"/>
      <c r="P265" s="317">
        <f>-77.24-317</f>
        <v>-394.24</v>
      </c>
      <c r="Q265" s="128">
        <f t="shared" si="115"/>
        <v>-250</v>
      </c>
      <c r="R265" s="128">
        <v>-500</v>
      </c>
      <c r="S265" s="308" t="s">
        <v>1048</v>
      </c>
    </row>
    <row r="266" spans="1:29" x14ac:dyDescent="0.25">
      <c r="A266" s="32" t="s">
        <v>689</v>
      </c>
      <c r="B266" s="62" t="s">
        <v>155</v>
      </c>
      <c r="C266" s="199" t="s">
        <v>690</v>
      </c>
      <c r="D266" s="35" t="s">
        <v>691</v>
      </c>
      <c r="E266" s="128">
        <v>-4000</v>
      </c>
      <c r="F266" s="128">
        <v>0</v>
      </c>
      <c r="G266" s="128"/>
      <c r="H266" s="128">
        <v>-320</v>
      </c>
      <c r="I266" s="33">
        <f>-200-1018-467.3</f>
        <v>-1685.3</v>
      </c>
      <c r="J266" s="128">
        <f>L266*0.5</f>
        <v>-1092.6500000000001</v>
      </c>
      <c r="K266" s="128"/>
      <c r="L266" s="128">
        <f>I266-500</f>
        <v>-2185.3000000000002</v>
      </c>
      <c r="M266" s="128">
        <v>-4000</v>
      </c>
      <c r="N266" s="128">
        <v>-4000</v>
      </c>
      <c r="O266" s="128"/>
      <c r="P266" s="318">
        <v>-577.20000000000005</v>
      </c>
      <c r="Q266" s="128">
        <f t="shared" si="115"/>
        <v>-2000</v>
      </c>
      <c r="R266" s="128">
        <v>-4000</v>
      </c>
      <c r="S266" s="269" t="s">
        <v>1082</v>
      </c>
    </row>
    <row r="267" spans="1:29" x14ac:dyDescent="0.25">
      <c r="A267" s="37" t="s">
        <v>693</v>
      </c>
      <c r="B267" s="62" t="s">
        <v>155</v>
      </c>
      <c r="C267" s="199" t="s">
        <v>694</v>
      </c>
      <c r="D267" s="200" t="s">
        <v>695</v>
      </c>
      <c r="E267" s="170"/>
      <c r="F267" s="170">
        <v>0</v>
      </c>
      <c r="G267" s="170">
        <v>0</v>
      </c>
      <c r="H267" s="170">
        <v>-516.46</v>
      </c>
      <c r="I267" s="240">
        <v>-516.46</v>
      </c>
      <c r="J267" s="128">
        <f>L267*0.5</f>
        <v>-258.23</v>
      </c>
      <c r="K267" s="170">
        <v>0</v>
      </c>
      <c r="L267" s="128">
        <v>-516.46</v>
      </c>
      <c r="M267" s="128"/>
      <c r="N267" s="128"/>
      <c r="O267" s="128"/>
      <c r="P267" s="317">
        <v>-516.46</v>
      </c>
      <c r="Q267" s="128">
        <f t="shared" si="115"/>
        <v>-258.23</v>
      </c>
      <c r="R267" s="128">
        <v>-516.46</v>
      </c>
      <c r="S267" s="269" t="s">
        <v>1083</v>
      </c>
    </row>
    <row r="268" spans="1:29" x14ac:dyDescent="0.25">
      <c r="A268" s="32" t="s">
        <v>697</v>
      </c>
      <c r="B268" s="62" t="s">
        <v>155</v>
      </c>
      <c r="C268" s="199" t="s">
        <v>698</v>
      </c>
      <c r="D268" s="35" t="s">
        <v>699</v>
      </c>
      <c r="E268" s="128">
        <v>-1000</v>
      </c>
      <c r="F268" s="128">
        <v>0</v>
      </c>
      <c r="G268" s="128">
        <v>-193.47</v>
      </c>
      <c r="H268" s="128">
        <v>-193.47</v>
      </c>
      <c r="I268" s="33">
        <f>-197.47-2-2-2</f>
        <v>-203.47</v>
      </c>
      <c r="J268" s="128">
        <f>L268*0.5</f>
        <v>-150</v>
      </c>
      <c r="K268" s="128">
        <v>-216.67</v>
      </c>
      <c r="L268" s="128">
        <v>-300</v>
      </c>
      <c r="M268" s="128">
        <v>-1000</v>
      </c>
      <c r="N268" s="128">
        <v>-1000</v>
      </c>
      <c r="O268" s="128"/>
      <c r="P268" s="318">
        <v>-818.03</v>
      </c>
      <c r="Q268" s="128">
        <f t="shared" si="115"/>
        <v>-500</v>
      </c>
      <c r="R268" s="128">
        <v>-1000</v>
      </c>
      <c r="S268" s="269"/>
    </row>
    <row r="269" spans="1:29" x14ac:dyDescent="0.25">
      <c r="A269" s="37" t="s">
        <v>700</v>
      </c>
      <c r="B269" s="62" t="s">
        <v>155</v>
      </c>
      <c r="C269" s="199" t="s">
        <v>701</v>
      </c>
      <c r="D269" s="200" t="s">
        <v>702</v>
      </c>
      <c r="E269" s="170"/>
      <c r="F269" s="170">
        <v>0</v>
      </c>
      <c r="G269" s="170">
        <v>0</v>
      </c>
      <c r="H269" s="170">
        <v>0</v>
      </c>
      <c r="I269" s="240">
        <v>0</v>
      </c>
      <c r="J269" s="128"/>
      <c r="K269" s="170">
        <v>0</v>
      </c>
      <c r="L269" s="128"/>
      <c r="M269" s="128"/>
      <c r="N269" s="128"/>
      <c r="O269" s="128"/>
      <c r="P269" s="317">
        <v>0</v>
      </c>
      <c r="Q269" s="128">
        <f t="shared" si="115"/>
        <v>0</v>
      </c>
      <c r="R269" s="128"/>
      <c r="S269" s="269"/>
    </row>
    <row r="270" spans="1:29" x14ac:dyDescent="0.25">
      <c r="A270" s="32" t="s">
        <v>703</v>
      </c>
      <c r="B270" s="62" t="s">
        <v>155</v>
      </c>
      <c r="C270" s="199" t="s">
        <v>704</v>
      </c>
      <c r="D270" s="35" t="s">
        <v>705</v>
      </c>
      <c r="E270" s="128"/>
      <c r="F270" s="128">
        <v>0</v>
      </c>
      <c r="G270" s="128">
        <v>0</v>
      </c>
      <c r="H270" s="128">
        <v>0</v>
      </c>
      <c r="I270" s="33"/>
      <c r="J270" s="128"/>
      <c r="K270" s="128">
        <v>0</v>
      </c>
      <c r="L270" s="128"/>
      <c r="M270" s="128"/>
      <c r="N270" s="128"/>
      <c r="O270" s="128"/>
      <c r="P270" s="318">
        <v>0</v>
      </c>
      <c r="Q270" s="128">
        <f t="shared" si="115"/>
        <v>0</v>
      </c>
      <c r="R270" s="128"/>
      <c r="S270" s="269"/>
    </row>
    <row r="271" spans="1:29" ht="23.25" x14ac:dyDescent="0.35">
      <c r="A271" s="109" t="s">
        <v>706</v>
      </c>
      <c r="B271" s="110"/>
      <c r="C271" s="110"/>
      <c r="D271" s="201" t="s">
        <v>707</v>
      </c>
      <c r="E271" s="202">
        <f t="shared" ref="E271:R271" si="116">E5+E121</f>
        <v>148013.03761748644</v>
      </c>
      <c r="F271" s="202">
        <f t="shared" si="116"/>
        <v>780029.23000000045</v>
      </c>
      <c r="G271" s="202">
        <f t="shared" si="116"/>
        <v>554682.5</v>
      </c>
      <c r="H271" s="202">
        <f t="shared" si="116"/>
        <v>491800.20000000013</v>
      </c>
      <c r="I271" s="252">
        <f t="shared" si="116"/>
        <v>798741.56999999983</v>
      </c>
      <c r="J271" s="202">
        <f t="shared" si="116"/>
        <v>38922.0906282051</v>
      </c>
      <c r="K271" s="202">
        <f t="shared" si="116"/>
        <v>835747.29999999981</v>
      </c>
      <c r="L271" s="203">
        <f t="shared" si="116"/>
        <v>59649.521256409585</v>
      </c>
      <c r="M271" s="204">
        <f t="shared" si="116"/>
        <v>46821.277265188284</v>
      </c>
      <c r="N271" s="478">
        <f t="shared" si="116"/>
        <v>51427.031273223925</v>
      </c>
      <c r="O271" s="478">
        <f t="shared" si="116"/>
        <v>1923793.2802622956</v>
      </c>
      <c r="P271" s="478">
        <f t="shared" si="116"/>
        <v>262176.24000000022</v>
      </c>
      <c r="Q271" s="478">
        <f t="shared" si="116"/>
        <v>14895.097521311603</v>
      </c>
      <c r="R271" s="478">
        <f t="shared" si="116"/>
        <v>63701.385042622685</v>
      </c>
      <c r="S271" s="279">
        <f>N271-T121</f>
        <v>63701.385042622685</v>
      </c>
    </row>
    <row r="272" spans="1:29" x14ac:dyDescent="0.25">
      <c r="A272" s="172" t="s">
        <v>708</v>
      </c>
      <c r="B272" s="171"/>
      <c r="C272" s="171"/>
      <c r="D272" s="172" t="s">
        <v>709</v>
      </c>
      <c r="E272" s="173">
        <f t="shared" ref="E272:R273" si="117">E273</f>
        <v>0</v>
      </c>
      <c r="F272" s="173">
        <f t="shared" si="117"/>
        <v>0</v>
      </c>
      <c r="G272" s="173">
        <f t="shared" si="117"/>
        <v>0</v>
      </c>
      <c r="H272" s="173">
        <f t="shared" si="117"/>
        <v>5282.76</v>
      </c>
      <c r="I272" s="243">
        <v>4.3</v>
      </c>
      <c r="J272" s="173">
        <f t="shared" si="117"/>
        <v>5282.76</v>
      </c>
      <c r="K272" s="173">
        <f t="shared" si="117"/>
        <v>10329.450000000001</v>
      </c>
      <c r="L272" s="174">
        <f t="shared" si="117"/>
        <v>16625.11</v>
      </c>
      <c r="M272" s="139">
        <f t="shared" si="117"/>
        <v>5000</v>
      </c>
      <c r="N272" s="139">
        <f t="shared" si="117"/>
        <v>5000</v>
      </c>
      <c r="O272" s="139">
        <f t="shared" si="117"/>
        <v>0</v>
      </c>
      <c r="P272" s="139">
        <f t="shared" si="117"/>
        <v>0</v>
      </c>
      <c r="Q272" s="139">
        <f t="shared" si="117"/>
        <v>5226.7068000000008</v>
      </c>
      <c r="R272" s="139">
        <f t="shared" si="117"/>
        <v>8804.11</v>
      </c>
      <c r="S272" s="274"/>
    </row>
    <row r="273" spans="1:20" x14ac:dyDescent="0.25">
      <c r="A273" s="20" t="s">
        <v>710</v>
      </c>
      <c r="B273" s="21"/>
      <c r="C273" s="21"/>
      <c r="D273" s="20" t="s">
        <v>711</v>
      </c>
      <c r="E273" s="71">
        <f t="shared" si="117"/>
        <v>0</v>
      </c>
      <c r="F273" s="71">
        <f t="shared" si="117"/>
        <v>0</v>
      </c>
      <c r="G273" s="71">
        <f t="shared" si="117"/>
        <v>0</v>
      </c>
      <c r="H273" s="71">
        <f t="shared" si="117"/>
        <v>5282.76</v>
      </c>
      <c r="I273" s="242">
        <v>4.3</v>
      </c>
      <c r="J273" s="71">
        <f t="shared" si="117"/>
        <v>5282.76</v>
      </c>
      <c r="K273" s="71">
        <f t="shared" si="117"/>
        <v>10329.450000000001</v>
      </c>
      <c r="L273" s="148">
        <f t="shared" si="117"/>
        <v>16625.11</v>
      </c>
      <c r="M273" s="113">
        <f t="shared" si="117"/>
        <v>5000</v>
      </c>
      <c r="N273" s="113">
        <f t="shared" si="117"/>
        <v>5000</v>
      </c>
      <c r="O273" s="113">
        <f t="shared" si="117"/>
        <v>0</v>
      </c>
      <c r="P273" s="113">
        <f t="shared" si="117"/>
        <v>0</v>
      </c>
      <c r="Q273" s="113">
        <f t="shared" si="117"/>
        <v>5226.7068000000008</v>
      </c>
      <c r="R273" s="113">
        <f t="shared" si="117"/>
        <v>8804.11</v>
      </c>
      <c r="S273" s="271" t="s">
        <v>848</v>
      </c>
    </row>
    <row r="274" spans="1:20" x14ac:dyDescent="0.25">
      <c r="A274" s="32" t="s">
        <v>712</v>
      </c>
      <c r="B274" s="6" t="s">
        <v>713</v>
      </c>
      <c r="C274" s="326" t="s">
        <v>945</v>
      </c>
      <c r="D274" s="327" t="s">
        <v>715</v>
      </c>
      <c r="E274" s="33">
        <v>0</v>
      </c>
      <c r="F274" s="33">
        <v>0</v>
      </c>
      <c r="G274" s="33">
        <v>0</v>
      </c>
      <c r="H274" s="33">
        <f>4.3+5278.46</f>
        <v>5282.76</v>
      </c>
      <c r="I274" s="33">
        <v>4.3</v>
      </c>
      <c r="J274" s="33">
        <f>4.3+5278.46</f>
        <v>5282.76</v>
      </c>
      <c r="K274" s="33">
        <v>10329.450000000001</v>
      </c>
      <c r="L274" s="293">
        <v>16625.11</v>
      </c>
      <c r="M274" s="139">
        <v>5000</v>
      </c>
      <c r="N274" s="139">
        <v>5000</v>
      </c>
      <c r="O274" s="139"/>
      <c r="P274" s="139"/>
      <c r="Q274" s="114">
        <f>4148.18*1.26</f>
        <v>5226.7068000000008</v>
      </c>
      <c r="R274" s="464">
        <f>11304.11-2500</f>
        <v>8804.11</v>
      </c>
      <c r="S274" s="274" t="s">
        <v>1060</v>
      </c>
    </row>
    <row r="275" spans="1:20" ht="23.25" x14ac:dyDescent="0.35">
      <c r="A275" s="109" t="s">
        <v>716</v>
      </c>
      <c r="B275" s="110"/>
      <c r="C275" s="110"/>
      <c r="D275" s="201" t="s">
        <v>717</v>
      </c>
      <c r="E275" s="202">
        <f t="shared" ref="E275:M275" si="118">E271+E272</f>
        <v>148013.03761748644</v>
      </c>
      <c r="F275" s="202">
        <f t="shared" si="118"/>
        <v>780029.23000000045</v>
      </c>
      <c r="G275" s="202">
        <f t="shared" si="118"/>
        <v>554682.5</v>
      </c>
      <c r="H275" s="202">
        <f t="shared" si="118"/>
        <v>497082.96000000014</v>
      </c>
      <c r="I275" s="252">
        <f t="shared" ref="I275" si="119">I271+I272</f>
        <v>798745.86999999988</v>
      </c>
      <c r="J275" s="202">
        <f t="shared" si="118"/>
        <v>44204.850628205102</v>
      </c>
      <c r="K275" s="202">
        <f t="shared" si="118"/>
        <v>846076.74999999977</v>
      </c>
      <c r="L275" s="203">
        <f>L271+L272</f>
        <v>76274.631256409586</v>
      </c>
      <c r="M275" s="204">
        <f t="shared" si="118"/>
        <v>51821.277265188284</v>
      </c>
      <c r="N275" s="232">
        <f>N271+N272</f>
        <v>56427.031273223925</v>
      </c>
      <c r="O275" s="232">
        <f t="shared" ref="O275:R275" si="120">O271+O272</f>
        <v>1923793.2802622956</v>
      </c>
      <c r="P275" s="232">
        <f t="shared" si="120"/>
        <v>262176.24000000022</v>
      </c>
      <c r="Q275" s="232">
        <f t="shared" si="120"/>
        <v>20121.804321311603</v>
      </c>
      <c r="R275" s="232">
        <f t="shared" si="120"/>
        <v>72505.495042622686</v>
      </c>
      <c r="S275" s="70"/>
      <c r="T275" s="70"/>
    </row>
    <row r="276" spans="1:20" x14ac:dyDescent="0.25">
      <c r="A276" s="20" t="s">
        <v>718</v>
      </c>
      <c r="B276" s="21"/>
      <c r="C276" s="21"/>
      <c r="D276" s="20" t="s">
        <v>719</v>
      </c>
      <c r="E276" s="113">
        <f t="shared" ref="E276:R276" si="121">E277</f>
        <v>-39963.520156721337</v>
      </c>
      <c r="F276" s="113">
        <f t="shared" si="121"/>
        <v>-210607.89210000014</v>
      </c>
      <c r="G276" s="113">
        <f t="shared" si="121"/>
        <v>-149764.27500000002</v>
      </c>
      <c r="H276" s="113">
        <f t="shared" si="121"/>
        <v>-134212.39920000004</v>
      </c>
      <c r="I276" s="253"/>
      <c r="J276" s="113">
        <f t="shared" si="121"/>
        <v>-11935.309669615379</v>
      </c>
      <c r="K276" s="113">
        <f t="shared" si="121"/>
        <v>-39963.520156721301</v>
      </c>
      <c r="L276" s="205">
        <f t="shared" si="121"/>
        <v>-20594.150439230591</v>
      </c>
      <c r="M276" s="113">
        <f t="shared" si="121"/>
        <v>-13991.744861600837</v>
      </c>
      <c r="N276" s="113">
        <f t="shared" si="121"/>
        <v>-15235.298443770462</v>
      </c>
      <c r="O276" s="113">
        <f t="shared" si="121"/>
        <v>519424.18567081983</v>
      </c>
      <c r="P276" s="113">
        <f>P277</f>
        <v>-70787.58480000007</v>
      </c>
      <c r="Q276" s="113">
        <f t="shared" si="121"/>
        <v>-5432.8871667541334</v>
      </c>
      <c r="R276" s="113">
        <f t="shared" si="121"/>
        <v>-19576.483661508126</v>
      </c>
      <c r="S276" s="271"/>
    </row>
    <row r="277" spans="1:20" x14ac:dyDescent="0.25">
      <c r="A277" s="37" t="s">
        <v>720</v>
      </c>
      <c r="B277" s="6" t="s">
        <v>652</v>
      </c>
      <c r="C277" s="6" t="s">
        <v>721</v>
      </c>
      <c r="D277" s="37" t="s">
        <v>719</v>
      </c>
      <c r="E277" s="114">
        <f>-E275*0.27</f>
        <v>-39963.520156721337</v>
      </c>
      <c r="F277" s="114">
        <f>-F275*0.27</f>
        <v>-210607.89210000014</v>
      </c>
      <c r="G277" s="114">
        <f>-G275*0.27</f>
        <v>-149764.27500000002</v>
      </c>
      <c r="H277" s="114">
        <f>-H275*0.27</f>
        <v>-134212.39920000004</v>
      </c>
      <c r="I277" s="254"/>
      <c r="J277" s="114">
        <f>-J275*0.27</f>
        <v>-11935.309669615379</v>
      </c>
      <c r="K277" s="114">
        <v>-39963.520156721301</v>
      </c>
      <c r="L277" s="206">
        <f>-L275*0.27</f>
        <v>-20594.150439230591</v>
      </c>
      <c r="M277" s="114">
        <f>-M275*0.27</f>
        <v>-13991.744861600837</v>
      </c>
      <c r="N277" s="114">
        <f>-N275*0.27</f>
        <v>-15235.298443770462</v>
      </c>
      <c r="O277" s="114">
        <f>O275*0.27</f>
        <v>519424.18567081983</v>
      </c>
      <c r="P277" s="114">
        <f>-P275*0.27</f>
        <v>-70787.58480000007</v>
      </c>
      <c r="Q277" s="114">
        <f>-Q275*0.27</f>
        <v>-5432.8871667541334</v>
      </c>
      <c r="R277" s="114">
        <f>-R275*0.27</f>
        <v>-19576.483661508126</v>
      </c>
      <c r="S277" s="258">
        <f>+L277-I277</f>
        <v>-20594.150439230591</v>
      </c>
    </row>
    <row r="278" spans="1:20" x14ac:dyDescent="0.25">
      <c r="A278" s="115" t="s">
        <v>722</v>
      </c>
      <c r="B278" s="116"/>
      <c r="C278" s="116"/>
      <c r="D278" s="115" t="s">
        <v>723</v>
      </c>
      <c r="E278" s="117">
        <f t="shared" ref="E278:Q278" si="122">E275+E276</f>
        <v>108049.5174607651</v>
      </c>
      <c r="F278" s="117">
        <f t="shared" si="122"/>
        <v>569421.33790000028</v>
      </c>
      <c r="G278" s="117">
        <f t="shared" si="122"/>
        <v>404918.22499999998</v>
      </c>
      <c r="H278" s="117">
        <f t="shared" si="122"/>
        <v>362870.56080000009</v>
      </c>
      <c r="I278" s="255">
        <f t="shared" ref="I278" si="123">I275+I276</f>
        <v>798745.86999999988</v>
      </c>
      <c r="J278" s="117">
        <f t="shared" si="122"/>
        <v>32269.540958589721</v>
      </c>
      <c r="K278" s="117">
        <f t="shared" si="122"/>
        <v>806113.22984327842</v>
      </c>
      <c r="L278" s="207">
        <f t="shared" si="122"/>
        <v>55680.480817178992</v>
      </c>
      <c r="M278" s="208">
        <f t="shared" si="122"/>
        <v>37829.532403587451</v>
      </c>
      <c r="N278" s="208">
        <f t="shared" si="122"/>
        <v>41191.732829453467</v>
      </c>
      <c r="O278" s="208">
        <f t="shared" si="122"/>
        <v>2443217.4659331152</v>
      </c>
      <c r="P278" s="208">
        <f t="shared" si="122"/>
        <v>191388.65520000015</v>
      </c>
      <c r="Q278" s="208">
        <f t="shared" si="122"/>
        <v>14688.91715455747</v>
      </c>
      <c r="R278" s="208">
        <f>R275-R276</f>
        <v>92081.978704130815</v>
      </c>
      <c r="S278" s="280" t="s">
        <v>853</v>
      </c>
    </row>
    <row r="279" spans="1:20" x14ac:dyDescent="0.25">
      <c r="I279" s="170">
        <f>+I278-797735.82</f>
        <v>1010.0499999999302</v>
      </c>
    </row>
    <row r="280" spans="1:20" x14ac:dyDescent="0.25">
      <c r="E280" s="35" t="s">
        <v>797</v>
      </c>
      <c r="L280" s="128">
        <f>N5</f>
        <v>3639799.3112732242</v>
      </c>
      <c r="M280" s="128">
        <f>M5</f>
        <v>3264337.5822732244</v>
      </c>
      <c r="N280" s="209">
        <v>3100000</v>
      </c>
      <c r="O280" s="209"/>
      <c r="P280" s="209"/>
      <c r="Q280" s="209"/>
      <c r="R280" s="209"/>
    </row>
    <row r="281" spans="1:20" x14ac:dyDescent="0.25">
      <c r="E281" s="35" t="s">
        <v>798</v>
      </c>
      <c r="L281" s="210">
        <f>194000+N73+N71+N93</f>
        <v>584533.21166666667</v>
      </c>
      <c r="M281" s="210">
        <f>194000+M73+M71+M93</f>
        <v>569609.96666666667</v>
      </c>
      <c r="N281" s="211">
        <v>630000</v>
      </c>
      <c r="O281" s="211"/>
      <c r="P281" s="211"/>
      <c r="Q281" s="211"/>
      <c r="R281" s="211"/>
    </row>
    <row r="282" spans="1:20" x14ac:dyDescent="0.25">
      <c r="E282" s="35" t="s">
        <v>799</v>
      </c>
      <c r="L282" s="213">
        <f>L281/L280</f>
        <v>0.16059490144312197</v>
      </c>
      <c r="M282" s="212">
        <f>M281/M280</f>
        <v>0.17449481014460547</v>
      </c>
      <c r="N282" s="214">
        <f>N281/N280</f>
        <v>0.20322580645161289</v>
      </c>
      <c r="O282" s="214"/>
      <c r="P282" s="214"/>
      <c r="Q282" s="214"/>
      <c r="R282" s="214"/>
    </row>
    <row r="283" spans="1:20" x14ac:dyDescent="0.25">
      <c r="M283" t="s">
        <v>800</v>
      </c>
    </row>
    <row r="286" spans="1:20" x14ac:dyDescent="0.25">
      <c r="G286">
        <f>199.69-8.22</f>
        <v>191.47</v>
      </c>
    </row>
  </sheetData>
  <autoFilter ref="A2:AK275" xr:uid="{00000000-0009-0000-0000-000001000000}"/>
  <mergeCells count="23">
    <mergeCell ref="A1:D1"/>
    <mergeCell ref="Z8:AD8"/>
    <mergeCell ref="AD17:AD19"/>
    <mergeCell ref="Z22:AD22"/>
    <mergeCell ref="Z26:AD26"/>
    <mergeCell ref="AD28:AD43"/>
    <mergeCell ref="AI28:AI43"/>
    <mergeCell ref="AD44:AD45"/>
    <mergeCell ref="AE44:AE45"/>
    <mergeCell ref="AF44:AF45"/>
    <mergeCell ref="AG44:AG45"/>
    <mergeCell ref="AI44:AI45"/>
    <mergeCell ref="Z46:AD46"/>
    <mergeCell ref="AD49:AD51"/>
    <mergeCell ref="AE49:AE51"/>
    <mergeCell ref="AF49:AF51"/>
    <mergeCell ref="AG49:AG51"/>
    <mergeCell ref="T221:T222"/>
    <mergeCell ref="AI49:AI51"/>
    <mergeCell ref="Z61:AB61"/>
    <mergeCell ref="Z64:AB67"/>
    <mergeCell ref="T102:AA102"/>
    <mergeCell ref="Y126:Y155"/>
  </mergeCells>
  <phoneticPr fontId="60" type="noConversion"/>
  <pageMargins left="0.23611111111111099" right="0.23611111111111099" top="0.39374999999999999" bottom="0.35416666666666702" header="0.511811023622047" footer="0.511811023622047"/>
  <pageSetup paperSize="9" scale="67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X230"/>
  <sheetViews>
    <sheetView zoomScale="110" zoomScaleNormal="110" workbookViewId="0">
      <pane ySplit="3" topLeftCell="A154" activePane="bottomLeft" state="frozen"/>
      <selection activeCell="E1" sqref="E1"/>
      <selection pane="bottomLeft" activeCell="D176" sqref="D176"/>
    </sheetView>
  </sheetViews>
  <sheetFormatPr defaultColWidth="8.5703125" defaultRowHeight="15" x14ac:dyDescent="0.25"/>
  <cols>
    <col min="1" max="1" width="4" customWidth="1"/>
    <col min="2" max="2" width="12.140625" style="3" customWidth="1"/>
    <col min="3" max="3" width="15.28515625" style="3" customWidth="1"/>
    <col min="4" max="4" width="71.28515625" customWidth="1"/>
    <col min="5" max="5" width="19.140625" customWidth="1"/>
    <col min="6" max="9" width="19.140625" hidden="1" customWidth="1"/>
    <col min="10" max="10" width="26.28515625" customWidth="1"/>
    <col min="11" max="11" width="16" customWidth="1"/>
    <col min="12" max="12" width="18.140625" customWidth="1"/>
    <col min="13" max="13" width="22.28515625" customWidth="1"/>
    <col min="14" max="14" width="15.42578125" customWidth="1"/>
    <col min="15" max="15" width="40.42578125" customWidth="1"/>
    <col min="16" max="16" width="15.42578125" customWidth="1"/>
    <col min="17" max="17" width="22" customWidth="1"/>
    <col min="18" max="18" width="18.42578125" customWidth="1"/>
    <col min="19" max="19" width="22" customWidth="1"/>
    <col min="20" max="20" width="14.28515625" customWidth="1"/>
    <col min="21" max="21" width="25.5703125" customWidth="1"/>
    <col min="22" max="22" width="32.28515625" customWidth="1"/>
    <col min="23" max="23" width="13.140625" customWidth="1"/>
  </cols>
  <sheetData>
    <row r="1" spans="1:20" ht="18.75" x14ac:dyDescent="0.3">
      <c r="A1" s="761" t="s">
        <v>0</v>
      </c>
      <c r="B1" s="761"/>
      <c r="C1" s="761"/>
      <c r="D1" s="761"/>
      <c r="G1" s="4">
        <v>45155</v>
      </c>
      <c r="H1" s="4" t="s">
        <v>1</v>
      </c>
      <c r="I1" s="5"/>
      <c r="J1" s="5"/>
    </row>
    <row r="2" spans="1:20" x14ac:dyDescent="0.25">
      <c r="B2" s="6"/>
      <c r="C2" s="6"/>
      <c r="D2" s="7"/>
      <c r="E2" s="2" t="s">
        <v>0</v>
      </c>
      <c r="F2" s="2" t="s">
        <v>2</v>
      </c>
      <c r="G2" s="2" t="s">
        <v>3</v>
      </c>
      <c r="H2" s="2" t="s">
        <v>3</v>
      </c>
      <c r="I2" s="2" t="s">
        <v>4</v>
      </c>
      <c r="J2" s="2" t="s">
        <v>5</v>
      </c>
    </row>
    <row r="3" spans="1:20" x14ac:dyDescent="0.25">
      <c r="A3" s="8" t="s">
        <v>6</v>
      </c>
      <c r="B3" s="8"/>
      <c r="C3" s="9"/>
      <c r="D3" s="10" t="s">
        <v>7</v>
      </c>
      <c r="E3" s="11" t="s">
        <v>8</v>
      </c>
      <c r="F3" s="11" t="s">
        <v>8</v>
      </c>
      <c r="G3" s="11" t="s">
        <v>8</v>
      </c>
      <c r="H3" s="11" t="s">
        <v>8</v>
      </c>
      <c r="I3" s="11" t="s">
        <v>8</v>
      </c>
      <c r="J3" s="11" t="s">
        <v>8</v>
      </c>
    </row>
    <row r="4" spans="1:20" s="15" customFormat="1" x14ac:dyDescent="0.25">
      <c r="A4" s="12" t="s">
        <v>9</v>
      </c>
      <c r="B4" s="9" t="s">
        <v>10</v>
      </c>
      <c r="C4" s="9" t="s">
        <v>11</v>
      </c>
      <c r="D4" s="13" t="s">
        <v>12</v>
      </c>
      <c r="E4" s="14">
        <f t="shared" ref="E4:J4" si="0">E219</f>
        <v>148013.03761748644</v>
      </c>
      <c r="F4" s="14">
        <f t="shared" si="0"/>
        <v>780029.23000000045</v>
      </c>
      <c r="G4" s="14">
        <f t="shared" si="0"/>
        <v>555360.5</v>
      </c>
      <c r="H4" s="14">
        <f t="shared" si="0"/>
        <v>495810.96000000014</v>
      </c>
      <c r="I4" s="14">
        <f t="shared" si="0"/>
        <v>70247.69796153855</v>
      </c>
      <c r="J4" s="14">
        <f t="shared" si="0"/>
        <v>76614.615923077086</v>
      </c>
      <c r="R4" s="16"/>
      <c r="S4" s="15" t="s">
        <v>13</v>
      </c>
    </row>
    <row r="5" spans="1:20" x14ac:dyDescent="0.25">
      <c r="A5" s="17" t="s">
        <v>14</v>
      </c>
      <c r="B5" s="18"/>
      <c r="C5" s="18"/>
      <c r="D5" s="17" t="s">
        <v>15</v>
      </c>
      <c r="E5" s="19">
        <f t="shared" ref="E5:J5" si="1">E6+E80+E81+E82+E83</f>
        <v>3325474.6376174861</v>
      </c>
      <c r="F5" s="19">
        <f t="shared" si="1"/>
        <v>2910899.5100000002</v>
      </c>
      <c r="G5" s="19">
        <f t="shared" si="1"/>
        <v>1258464.32</v>
      </c>
      <c r="H5" s="19">
        <f t="shared" si="1"/>
        <v>940323.15000000014</v>
      </c>
      <c r="I5" s="19">
        <f t="shared" si="1"/>
        <v>1571122.0079615384</v>
      </c>
      <c r="J5" s="19">
        <f t="shared" si="1"/>
        <v>3142244.0159230768</v>
      </c>
    </row>
    <row r="6" spans="1:20" x14ac:dyDescent="0.25">
      <c r="A6" s="20" t="s">
        <v>16</v>
      </c>
      <c r="B6" s="21"/>
      <c r="C6" s="21"/>
      <c r="D6" s="20" t="s">
        <v>17</v>
      </c>
      <c r="E6" s="22">
        <f t="shared" ref="E6:J6" si="2">E7+E43+E47+E52+E61+E63+E65</f>
        <v>3084073.4476174861</v>
      </c>
      <c r="F6" s="22">
        <f t="shared" si="2"/>
        <v>2910899.5100000002</v>
      </c>
      <c r="G6" s="22">
        <f t="shared" si="2"/>
        <v>1193560.4400000002</v>
      </c>
      <c r="H6" s="22">
        <f t="shared" si="2"/>
        <v>929672.35000000009</v>
      </c>
      <c r="I6" s="22">
        <f t="shared" si="2"/>
        <v>1445202.7529615385</v>
      </c>
      <c r="J6" s="22">
        <f t="shared" si="2"/>
        <v>2890405.505923077</v>
      </c>
    </row>
    <row r="7" spans="1:20" x14ac:dyDescent="0.25">
      <c r="A7" s="23" t="s">
        <v>18</v>
      </c>
      <c r="B7" s="24"/>
      <c r="C7" s="24"/>
      <c r="D7" s="23" t="s">
        <v>19</v>
      </c>
      <c r="E7" s="25">
        <f t="shared" ref="E7:J7" si="3">E8+E11+E20+E33+E36+E41</f>
        <v>2228931.378</v>
      </c>
      <c r="F7" s="25">
        <f t="shared" si="3"/>
        <v>2536351.9900000002</v>
      </c>
      <c r="G7" s="25">
        <f t="shared" si="3"/>
        <v>1038874.3800000001</v>
      </c>
      <c r="H7" s="25">
        <f t="shared" si="3"/>
        <v>774986.29</v>
      </c>
      <c r="I7" s="25">
        <f t="shared" si="3"/>
        <v>1138060.852</v>
      </c>
      <c r="J7" s="25">
        <f t="shared" si="3"/>
        <v>2276121.7039999999</v>
      </c>
      <c r="M7" s="756" t="s">
        <v>20</v>
      </c>
      <c r="N7" s="756"/>
      <c r="O7" s="756"/>
      <c r="P7" s="756"/>
      <c r="Q7" s="756"/>
    </row>
    <row r="8" spans="1:20" x14ac:dyDescent="0.25">
      <c r="A8" s="26" t="s">
        <v>21</v>
      </c>
      <c r="B8" s="27"/>
      <c r="C8" s="27"/>
      <c r="D8" s="26" t="s">
        <v>22</v>
      </c>
      <c r="E8" s="28">
        <f t="shared" ref="E8:J8" si="4">E9+E10</f>
        <v>441550.92</v>
      </c>
      <c r="F8" s="28">
        <f t="shared" si="4"/>
        <v>442405.04</v>
      </c>
      <c r="G8" s="28">
        <f t="shared" si="4"/>
        <v>260538.42</v>
      </c>
      <c r="H8" s="28">
        <f t="shared" si="4"/>
        <v>260538.42</v>
      </c>
      <c r="I8" s="28">
        <f t="shared" si="4"/>
        <v>220775.46</v>
      </c>
      <c r="J8" s="28">
        <f t="shared" si="4"/>
        <v>441550.92</v>
      </c>
      <c r="M8" s="29" t="s">
        <v>23</v>
      </c>
      <c r="N8" s="30" t="s">
        <v>24</v>
      </c>
      <c r="O8" s="30"/>
      <c r="P8" s="31"/>
      <c r="Q8" s="3" t="s">
        <v>23</v>
      </c>
      <c r="R8" s="30" t="s">
        <v>25</v>
      </c>
      <c r="S8" s="30" t="s">
        <v>26</v>
      </c>
    </row>
    <row r="9" spans="1:20" x14ac:dyDescent="0.25">
      <c r="A9" s="32"/>
      <c r="B9" s="6" t="s">
        <v>27</v>
      </c>
      <c r="C9" s="6" t="s">
        <v>28</v>
      </c>
      <c r="D9" s="32" t="s">
        <v>29</v>
      </c>
      <c r="E9" s="33">
        <v>391991.32</v>
      </c>
      <c r="F9" s="33">
        <v>392845.44</v>
      </c>
      <c r="G9" s="33">
        <v>235707.26</v>
      </c>
      <c r="H9" s="33">
        <v>235707.26</v>
      </c>
      <c r="I9" s="33">
        <f>E9/2</f>
        <v>195995.66</v>
      </c>
      <c r="J9" s="33">
        <f>E9</f>
        <v>391991.32</v>
      </c>
      <c r="M9" s="34">
        <v>479271.44</v>
      </c>
      <c r="N9" s="34">
        <f t="shared" ref="N9:N18" si="5">M9/1.22</f>
        <v>392845.44262295082</v>
      </c>
      <c r="O9" s="35" t="s">
        <v>30</v>
      </c>
      <c r="P9" s="35" t="s">
        <v>31</v>
      </c>
      <c r="Q9" s="757">
        <f>SUM(M9:M15)</f>
        <v>918293.76</v>
      </c>
      <c r="R9" s="36">
        <f>N9*0.6</f>
        <v>235707.26557377048</v>
      </c>
      <c r="S9" s="34">
        <f>J9-R9</f>
        <v>156284.05442622953</v>
      </c>
    </row>
    <row r="10" spans="1:20" x14ac:dyDescent="0.25">
      <c r="A10" s="37"/>
      <c r="B10" s="6" t="s">
        <v>32</v>
      </c>
      <c r="C10" s="6" t="s">
        <v>33</v>
      </c>
      <c r="D10" s="37" t="s">
        <v>34</v>
      </c>
      <c r="E10" s="33">
        <v>49559.6</v>
      </c>
      <c r="F10" s="33">
        <v>49559.6</v>
      </c>
      <c r="G10" s="33">
        <v>24831.16</v>
      </c>
      <c r="H10" s="33">
        <v>24831.16</v>
      </c>
      <c r="I10" s="33">
        <f>E10/2</f>
        <v>24779.8</v>
      </c>
      <c r="J10" s="33">
        <f>E10</f>
        <v>49559.6</v>
      </c>
      <c r="M10" s="34">
        <v>372730</v>
      </c>
      <c r="N10" s="34">
        <f t="shared" si="5"/>
        <v>305516.39344262297</v>
      </c>
      <c r="O10" s="35" t="s">
        <v>35</v>
      </c>
      <c r="P10" s="35" t="s">
        <v>31</v>
      </c>
      <c r="Q10" s="757"/>
      <c r="R10" s="36">
        <f>N10*0.5</f>
        <v>152758.19672131148</v>
      </c>
      <c r="S10" s="34">
        <f>N10*0.5</f>
        <v>152758.19672131148</v>
      </c>
    </row>
    <row r="11" spans="1:20" x14ac:dyDescent="0.25">
      <c r="A11" s="26" t="s">
        <v>36</v>
      </c>
      <c r="B11" s="27"/>
      <c r="C11" s="27"/>
      <c r="D11" s="26" t="s">
        <v>37</v>
      </c>
      <c r="E11" s="38">
        <f t="shared" ref="E11:J11" si="6">E12+E14+E18</f>
        <v>325438.82799999998</v>
      </c>
      <c r="F11" s="38">
        <f t="shared" si="6"/>
        <v>660549.51</v>
      </c>
      <c r="G11" s="38">
        <f t="shared" si="6"/>
        <v>0</v>
      </c>
      <c r="H11" s="38">
        <f t="shared" si="6"/>
        <v>0</v>
      </c>
      <c r="I11" s="38">
        <f t="shared" si="6"/>
        <v>282434.87199999997</v>
      </c>
      <c r="J11" s="38">
        <f t="shared" si="6"/>
        <v>564869.74399999995</v>
      </c>
      <c r="M11" s="34">
        <v>6019.68</v>
      </c>
      <c r="N11" s="34">
        <f t="shared" si="5"/>
        <v>4934.1639344262303</v>
      </c>
      <c r="O11" s="35" t="s">
        <v>38</v>
      </c>
      <c r="P11" s="35" t="s">
        <v>31</v>
      </c>
      <c r="Q11" s="757"/>
      <c r="R11" s="34"/>
      <c r="S11" s="34">
        <f>N11</f>
        <v>4934.1639344262303</v>
      </c>
      <c r="T11" t="s">
        <v>39</v>
      </c>
    </row>
    <row r="12" spans="1:20" x14ac:dyDescent="0.25">
      <c r="A12" s="39" t="s">
        <v>40</v>
      </c>
      <c r="B12" s="40"/>
      <c r="C12" s="40"/>
      <c r="D12" s="39" t="s">
        <v>41</v>
      </c>
      <c r="E12" s="41">
        <f t="shared" ref="E12:J12" si="7">E13</f>
        <v>163934.43</v>
      </c>
      <c r="F12" s="41">
        <f t="shared" si="7"/>
        <v>0</v>
      </c>
      <c r="G12" s="41">
        <f t="shared" si="7"/>
        <v>0</v>
      </c>
      <c r="H12" s="41">
        <f t="shared" si="7"/>
        <v>0</v>
      </c>
      <c r="I12" s="41">
        <f t="shared" si="7"/>
        <v>0</v>
      </c>
      <c r="J12" s="41">
        <f t="shared" si="7"/>
        <v>0</v>
      </c>
      <c r="M12" s="34">
        <v>19806.560000000001</v>
      </c>
      <c r="N12" s="34">
        <f t="shared" si="5"/>
        <v>16234.885245901642</v>
      </c>
      <c r="O12" s="35" t="s">
        <v>38</v>
      </c>
      <c r="P12" s="35" t="s">
        <v>31</v>
      </c>
      <c r="Q12" s="757"/>
      <c r="R12" s="36">
        <f>N12*0.6</f>
        <v>9740.931147540985</v>
      </c>
      <c r="S12" s="34">
        <f>N12*0.4</f>
        <v>6493.9540983606566</v>
      </c>
    </row>
    <row r="13" spans="1:20" x14ac:dyDescent="0.25">
      <c r="A13" s="32"/>
      <c r="B13" s="6" t="s">
        <v>42</v>
      </c>
      <c r="C13" s="6" t="s">
        <v>43</v>
      </c>
      <c r="D13" s="32" t="s">
        <v>44</v>
      </c>
      <c r="E13" s="33">
        <v>163934.43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M13" s="34">
        <v>30683.48</v>
      </c>
      <c r="N13" s="34">
        <f t="shared" si="5"/>
        <v>25150.39344262295</v>
      </c>
      <c r="O13" s="35" t="s">
        <v>38</v>
      </c>
      <c r="P13" s="35" t="s">
        <v>31</v>
      </c>
      <c r="Q13" s="757"/>
      <c r="R13" s="36">
        <f>N13*0.6</f>
        <v>15090.236065573768</v>
      </c>
      <c r="S13" s="34">
        <f>N13*0.4</f>
        <v>10060.157377049181</v>
      </c>
    </row>
    <row r="14" spans="1:20" x14ac:dyDescent="0.25">
      <c r="A14" s="39" t="s">
        <v>45</v>
      </c>
      <c r="B14" s="40"/>
      <c r="C14" s="40"/>
      <c r="D14" s="39" t="s">
        <v>46</v>
      </c>
      <c r="E14" s="41">
        <f t="shared" ref="E14:J14" si="8">SUM(E15:E17)</f>
        <v>161504.39800000002</v>
      </c>
      <c r="F14" s="41">
        <f t="shared" si="8"/>
        <v>61444.649999999994</v>
      </c>
      <c r="G14" s="41">
        <f t="shared" si="8"/>
        <v>0</v>
      </c>
      <c r="H14" s="41">
        <f t="shared" si="8"/>
        <v>0</v>
      </c>
      <c r="I14" s="41">
        <f t="shared" si="8"/>
        <v>60986.991999999998</v>
      </c>
      <c r="J14" s="41">
        <f t="shared" si="8"/>
        <v>121973.984</v>
      </c>
      <c r="M14" s="34">
        <v>3953</v>
      </c>
      <c r="N14" s="34">
        <f t="shared" si="5"/>
        <v>3240.1639344262294</v>
      </c>
      <c r="O14" s="35" t="s">
        <v>38</v>
      </c>
      <c r="P14" s="35" t="s">
        <v>31</v>
      </c>
      <c r="Q14" s="757"/>
      <c r="R14" s="34"/>
      <c r="S14" s="34">
        <f>N14</f>
        <v>3240.1639344262294</v>
      </c>
      <c r="T14" t="s">
        <v>47</v>
      </c>
    </row>
    <row r="15" spans="1:20" x14ac:dyDescent="0.25">
      <c r="A15" s="32"/>
      <c r="B15" s="42" t="s">
        <v>48</v>
      </c>
      <c r="C15" s="6" t="s">
        <v>49</v>
      </c>
      <c r="D15" s="32" t="s">
        <v>50</v>
      </c>
      <c r="E15" s="33">
        <v>110034.43</v>
      </c>
      <c r="F15" s="33">
        <v>30165.67</v>
      </c>
      <c r="G15" s="33">
        <v>0</v>
      </c>
      <c r="H15" s="33">
        <v>0</v>
      </c>
      <c r="I15" s="33">
        <f>J15*0.5</f>
        <v>38782.875999999997</v>
      </c>
      <c r="J15" s="33">
        <f>-(J137*1.1)</f>
        <v>77565.751999999993</v>
      </c>
      <c r="M15" s="34">
        <v>5829.6</v>
      </c>
      <c r="N15" s="34">
        <f t="shared" si="5"/>
        <v>4778.3606557377052</v>
      </c>
      <c r="O15" s="35" t="s">
        <v>51</v>
      </c>
      <c r="P15" s="35" t="s">
        <v>31</v>
      </c>
      <c r="Q15" s="757"/>
      <c r="R15" s="36">
        <f>N15*0.5</f>
        <v>2389.1803278688526</v>
      </c>
      <c r="S15" s="34">
        <f>N15*0.5</f>
        <v>2389.1803278688526</v>
      </c>
    </row>
    <row r="16" spans="1:20" x14ac:dyDescent="0.25">
      <c r="A16" s="37"/>
      <c r="B16" s="6" t="s">
        <v>48</v>
      </c>
      <c r="C16" s="6" t="s">
        <v>52</v>
      </c>
      <c r="D16" s="37" t="s">
        <v>53</v>
      </c>
      <c r="E16" s="33">
        <v>47025.33</v>
      </c>
      <c r="F16" s="33">
        <v>31278.98</v>
      </c>
      <c r="G16" s="33">
        <v>0</v>
      </c>
      <c r="H16" s="33">
        <v>0</v>
      </c>
      <c r="I16" s="33">
        <f>J16*0.5</f>
        <v>20892.366000000002</v>
      </c>
      <c r="J16" s="33">
        <f>-(J138*1.1)</f>
        <v>41784.732000000004</v>
      </c>
      <c r="M16" s="34">
        <v>74500</v>
      </c>
      <c r="N16" s="34">
        <f t="shared" si="5"/>
        <v>61065.573770491806</v>
      </c>
      <c r="O16" s="35" t="s">
        <v>51</v>
      </c>
      <c r="P16" s="35" t="s">
        <v>54</v>
      </c>
      <c r="Q16" s="757">
        <f>SUM(M16:M18)</f>
        <v>204905</v>
      </c>
      <c r="R16" s="36">
        <f>N16*0.5</f>
        <v>30532.786885245903</v>
      </c>
      <c r="S16" s="34">
        <f>N16*0.5</f>
        <v>30532.786885245903</v>
      </c>
    </row>
    <row r="17" spans="1:24" x14ac:dyDescent="0.25">
      <c r="A17" s="32"/>
      <c r="B17" s="6" t="s">
        <v>48</v>
      </c>
      <c r="C17" s="6" t="s">
        <v>55</v>
      </c>
      <c r="D17" s="32" t="s">
        <v>56</v>
      </c>
      <c r="E17" s="33">
        <v>4444.6379999999999</v>
      </c>
      <c r="F17" s="33">
        <v>0</v>
      </c>
      <c r="G17" s="33">
        <v>0</v>
      </c>
      <c r="H17" s="33">
        <v>0</v>
      </c>
      <c r="I17" s="33">
        <f>J17*0.5</f>
        <v>1311.75</v>
      </c>
      <c r="J17" s="33">
        <f>-(J139*1.1)</f>
        <v>2623.5</v>
      </c>
      <c r="M17" s="34">
        <v>31636</v>
      </c>
      <c r="N17" s="34">
        <f t="shared" si="5"/>
        <v>25931.147540983606</v>
      </c>
      <c r="O17" s="35" t="s">
        <v>51</v>
      </c>
      <c r="P17" s="35" t="s">
        <v>54</v>
      </c>
      <c r="Q17" s="757"/>
      <c r="R17" s="36">
        <f>N17*0.5</f>
        <v>12965.573770491803</v>
      </c>
      <c r="S17" s="34">
        <f>N17*0.5</f>
        <v>12965.573770491803</v>
      </c>
    </row>
    <row r="18" spans="1:24" x14ac:dyDescent="0.25">
      <c r="A18" s="39" t="s">
        <v>57</v>
      </c>
      <c r="B18" s="40">
        <v>1</v>
      </c>
      <c r="C18" s="40"/>
      <c r="D18" s="39" t="s">
        <v>58</v>
      </c>
      <c r="E18" s="41">
        <f t="shared" ref="E18:J18" si="9">E19</f>
        <v>0</v>
      </c>
      <c r="F18" s="41">
        <f t="shared" si="9"/>
        <v>599104.86</v>
      </c>
      <c r="G18" s="41">
        <f t="shared" si="9"/>
        <v>0</v>
      </c>
      <c r="H18" s="41">
        <f t="shared" si="9"/>
        <v>0</v>
      </c>
      <c r="I18" s="41">
        <f t="shared" si="9"/>
        <v>221447.88</v>
      </c>
      <c r="J18" s="41">
        <f t="shared" si="9"/>
        <v>442895.76</v>
      </c>
      <c r="M18" s="34">
        <v>98769</v>
      </c>
      <c r="N18" s="34">
        <f t="shared" si="5"/>
        <v>80958.196721311484</v>
      </c>
      <c r="O18" s="35" t="s">
        <v>59</v>
      </c>
      <c r="P18" s="35" t="s">
        <v>54</v>
      </c>
      <c r="Q18" s="757"/>
      <c r="R18" s="36">
        <f>N18*0.5</f>
        <v>40479.098360655742</v>
      </c>
      <c r="S18" s="34">
        <f>N18*0.5</f>
        <v>40479.098360655742</v>
      </c>
      <c r="T18" t="s">
        <v>60</v>
      </c>
    </row>
    <row r="19" spans="1:24" x14ac:dyDescent="0.25">
      <c r="A19" s="32"/>
      <c r="B19" s="6" t="s">
        <v>61</v>
      </c>
      <c r="C19" s="6" t="s">
        <v>62</v>
      </c>
      <c r="D19" s="32" t="s">
        <v>63</v>
      </c>
      <c r="E19" s="33">
        <v>0</v>
      </c>
      <c r="F19" s="33">
        <v>599104.86</v>
      </c>
      <c r="G19" s="33">
        <v>0</v>
      </c>
      <c r="H19" s="33">
        <v>0</v>
      </c>
      <c r="I19" s="33">
        <f>J19*0.5</f>
        <v>221447.88</v>
      </c>
      <c r="J19" s="33">
        <f>((92600)*0.5)+(144040*0.5)+(145301.6*1.1)+164744</f>
        <v>442895.76</v>
      </c>
      <c r="M19" s="43">
        <f>SUM(M9:M18)</f>
        <v>1123198.76</v>
      </c>
      <c r="N19" s="43">
        <f>SUM(N9:N18)</f>
        <v>920654.72131147562</v>
      </c>
    </row>
    <row r="20" spans="1:24" x14ac:dyDescent="0.25">
      <c r="A20" s="26" t="s">
        <v>64</v>
      </c>
      <c r="B20" s="27">
        <v>1</v>
      </c>
      <c r="C20" s="27"/>
      <c r="D20" s="26" t="s">
        <v>65</v>
      </c>
      <c r="E20" s="38">
        <f t="shared" ref="E20:J20" si="10">SUM(E21:E32)</f>
        <v>159436.39000000001</v>
      </c>
      <c r="F20" s="38">
        <f t="shared" si="10"/>
        <v>122223.81</v>
      </c>
      <c r="G20" s="38">
        <f t="shared" si="10"/>
        <v>1800</v>
      </c>
      <c r="H20" s="38">
        <f t="shared" si="10"/>
        <v>1800</v>
      </c>
      <c r="I20" s="38">
        <f t="shared" si="10"/>
        <v>67124.485000000001</v>
      </c>
      <c r="J20" s="38">
        <f t="shared" si="10"/>
        <v>134248.97</v>
      </c>
    </row>
    <row r="21" spans="1:24" x14ac:dyDescent="0.25">
      <c r="A21" s="44" t="s">
        <v>66</v>
      </c>
      <c r="B21" s="45" t="s">
        <v>67</v>
      </c>
      <c r="C21" s="6" t="s">
        <v>68</v>
      </c>
      <c r="D21" s="32" t="s">
        <v>69</v>
      </c>
      <c r="E21" s="33">
        <v>20250</v>
      </c>
      <c r="F21" s="33">
        <v>0</v>
      </c>
      <c r="G21" s="33">
        <v>0</v>
      </c>
      <c r="H21" s="33">
        <v>0</v>
      </c>
      <c r="I21" s="33">
        <v>0</v>
      </c>
      <c r="J21" s="46">
        <v>0</v>
      </c>
      <c r="M21" s="756" t="s">
        <v>70</v>
      </c>
      <c r="N21" s="756"/>
      <c r="O21" s="756"/>
      <c r="P21" s="756"/>
      <c r="Q21" s="756"/>
    </row>
    <row r="22" spans="1:24" x14ac:dyDescent="0.25">
      <c r="A22" s="47" t="s">
        <v>71</v>
      </c>
      <c r="B22" s="45" t="s">
        <v>67</v>
      </c>
      <c r="C22" s="6" t="s">
        <v>72</v>
      </c>
      <c r="D22" s="37" t="s">
        <v>73</v>
      </c>
      <c r="E22" s="33">
        <v>14344.5</v>
      </c>
      <c r="F22" s="33">
        <v>0</v>
      </c>
      <c r="G22" s="33">
        <v>0</v>
      </c>
      <c r="H22" s="33">
        <v>0</v>
      </c>
      <c r="I22" s="33">
        <f>J22*0.5</f>
        <v>7172.25</v>
      </c>
      <c r="J22" s="33">
        <f>8196.5+6148</f>
        <v>14344.5</v>
      </c>
      <c r="M22" s="3" t="s">
        <v>23</v>
      </c>
      <c r="N22" s="3" t="s">
        <v>24</v>
      </c>
      <c r="O22" s="3"/>
      <c r="P22" s="3"/>
      <c r="Q22" s="3"/>
      <c r="R22" s="30" t="s">
        <v>25</v>
      </c>
      <c r="S22" s="30" t="s">
        <v>26</v>
      </c>
    </row>
    <row r="23" spans="1:24" x14ac:dyDescent="0.25">
      <c r="A23" s="44" t="s">
        <v>74</v>
      </c>
      <c r="B23" s="45" t="s">
        <v>67</v>
      </c>
      <c r="C23" s="6" t="s">
        <v>75</v>
      </c>
      <c r="D23" s="32" t="s">
        <v>76</v>
      </c>
      <c r="E23" s="33">
        <v>35000</v>
      </c>
      <c r="F23" s="33">
        <v>34976.04</v>
      </c>
      <c r="G23" s="33">
        <v>0</v>
      </c>
      <c r="H23" s="33">
        <v>0</v>
      </c>
      <c r="I23" s="48">
        <f>J23*0.5</f>
        <v>17500</v>
      </c>
      <c r="J23" s="48">
        <f>E23</f>
        <v>35000</v>
      </c>
      <c r="K23" s="49" t="s">
        <v>77</v>
      </c>
      <c r="M23" s="34">
        <v>3775.64</v>
      </c>
      <c r="N23" s="34">
        <f>M23/1.22</f>
        <v>3094.7868852459014</v>
      </c>
      <c r="O23" s="35" t="s">
        <v>78</v>
      </c>
      <c r="P23" s="35" t="s">
        <v>31</v>
      </c>
      <c r="Q23" s="34"/>
      <c r="R23" s="34"/>
      <c r="S23" s="34">
        <f>N23</f>
        <v>3094.7868852459014</v>
      </c>
      <c r="T23" t="s">
        <v>79</v>
      </c>
    </row>
    <row r="24" spans="1:24" x14ac:dyDescent="0.25">
      <c r="A24" s="47" t="s">
        <v>80</v>
      </c>
      <c r="B24" s="45" t="s">
        <v>67</v>
      </c>
      <c r="C24" s="6" t="s">
        <v>81</v>
      </c>
      <c r="D24" s="32" t="s">
        <v>82</v>
      </c>
      <c r="E24" s="33">
        <v>6000</v>
      </c>
      <c r="F24" s="33">
        <v>3996.35</v>
      </c>
      <c r="G24" s="33">
        <v>0</v>
      </c>
      <c r="H24" s="33">
        <v>0</v>
      </c>
      <c r="I24" s="33">
        <v>0</v>
      </c>
      <c r="J24" s="33">
        <v>0</v>
      </c>
    </row>
    <row r="25" spans="1:24" x14ac:dyDescent="0.25">
      <c r="A25" s="47"/>
      <c r="B25" s="50" t="s">
        <v>83</v>
      </c>
      <c r="C25" s="42" t="s">
        <v>84</v>
      </c>
      <c r="D25" s="51" t="s">
        <v>85</v>
      </c>
      <c r="E25" s="52">
        <v>25142</v>
      </c>
      <c r="F25" s="52">
        <v>25142</v>
      </c>
      <c r="G25" s="52">
        <v>0</v>
      </c>
      <c r="H25" s="52">
        <v>0</v>
      </c>
      <c r="I25" s="52">
        <f>J25*0.5</f>
        <v>12571</v>
      </c>
      <c r="J25" s="52">
        <f>25142</f>
        <v>25142</v>
      </c>
      <c r="M25" s="756" t="s">
        <v>86</v>
      </c>
      <c r="N25" s="756"/>
      <c r="O25" s="756"/>
      <c r="P25" s="756"/>
      <c r="Q25" s="756"/>
    </row>
    <row r="26" spans="1:24" x14ac:dyDescent="0.25">
      <c r="A26" s="47"/>
      <c r="B26" s="45" t="s">
        <v>67</v>
      </c>
      <c r="C26" s="6" t="s">
        <v>87</v>
      </c>
      <c r="D26" s="32" t="s">
        <v>88</v>
      </c>
      <c r="E26" s="33">
        <v>4918.03</v>
      </c>
      <c r="F26" s="33">
        <v>0</v>
      </c>
      <c r="G26" s="33">
        <v>0</v>
      </c>
      <c r="H26" s="33">
        <v>0</v>
      </c>
      <c r="I26" s="33">
        <f>J26*0.5</f>
        <v>0</v>
      </c>
      <c r="J26" s="33">
        <v>0</v>
      </c>
      <c r="K26" s="53"/>
      <c r="M26" s="3" t="s">
        <v>23</v>
      </c>
      <c r="N26" s="3" t="s">
        <v>24</v>
      </c>
      <c r="O26" s="3"/>
      <c r="P26" s="3"/>
      <c r="Q26" s="3"/>
      <c r="R26" s="30" t="s">
        <v>25</v>
      </c>
      <c r="S26" s="30" t="s">
        <v>26</v>
      </c>
      <c r="T26" s="30" t="s">
        <v>89</v>
      </c>
    </row>
    <row r="27" spans="1:24" ht="15" customHeight="1" x14ac:dyDescent="0.25">
      <c r="A27" s="47"/>
      <c r="B27" s="45" t="s">
        <v>67</v>
      </c>
      <c r="C27" s="6" t="s">
        <v>90</v>
      </c>
      <c r="D27" s="32" t="s">
        <v>91</v>
      </c>
      <c r="E27" s="33">
        <v>7452.47</v>
      </c>
      <c r="F27" s="33">
        <v>8852.4599999999991</v>
      </c>
      <c r="G27" s="33">
        <v>1800</v>
      </c>
      <c r="H27" s="33">
        <v>1800</v>
      </c>
      <c r="I27" s="33">
        <f>J27*0.5</f>
        <v>4426.2350000000006</v>
      </c>
      <c r="J27" s="33">
        <f>1800+7052.47</f>
        <v>8852.4700000000012</v>
      </c>
      <c r="K27" s="54"/>
      <c r="M27" s="34">
        <v>16684.27</v>
      </c>
      <c r="N27" s="34">
        <f t="shared" ref="N27:N38" si="11">M27/1.22</f>
        <v>13675.631147540984</v>
      </c>
      <c r="O27" s="35" t="s">
        <v>92</v>
      </c>
      <c r="P27" s="35" t="s">
        <v>93</v>
      </c>
      <c r="Q27" s="757">
        <f>SUM(M27:M36)</f>
        <v>278285.76</v>
      </c>
      <c r="R27" s="36">
        <v>7193.12</v>
      </c>
      <c r="S27" s="34">
        <f t="shared" ref="S27:S35" si="12">R27</f>
        <v>7193.12</v>
      </c>
      <c r="T27" s="34"/>
      <c r="U27" t="s">
        <v>94</v>
      </c>
      <c r="V27" s="751" t="s">
        <v>95</v>
      </c>
      <c r="W27" s="55">
        <f>95239.35-10616.99+7025.37+5375.74+4133.41</f>
        <v>101156.88</v>
      </c>
      <c r="X27" t="s">
        <v>96</v>
      </c>
    </row>
    <row r="28" spans="1:24" x14ac:dyDescent="0.25">
      <c r="A28" s="47"/>
      <c r="B28" s="45" t="s">
        <v>67</v>
      </c>
      <c r="C28" s="6" t="s">
        <v>97</v>
      </c>
      <c r="D28" s="37" t="s">
        <v>98</v>
      </c>
      <c r="E28" s="33">
        <v>16549.39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M28" s="34">
        <v>5940</v>
      </c>
      <c r="N28" s="34">
        <f t="shared" si="11"/>
        <v>4868.8524590163934</v>
      </c>
      <c r="O28" s="35" t="s">
        <v>92</v>
      </c>
      <c r="P28" s="35" t="s">
        <v>99</v>
      </c>
      <c r="Q28" s="757"/>
      <c r="R28" s="36">
        <v>2808.32</v>
      </c>
      <c r="S28" s="34">
        <f t="shared" si="12"/>
        <v>2808.32</v>
      </c>
      <c r="T28" s="34"/>
      <c r="U28" t="s">
        <v>100</v>
      </c>
      <c r="V28" s="751"/>
      <c r="W28" s="56">
        <f>-(W27-SUM(R27:R36))</f>
        <v>-1685.9300000000076</v>
      </c>
      <c r="X28" t="s">
        <v>101</v>
      </c>
    </row>
    <row r="29" spans="1:24" x14ac:dyDescent="0.25">
      <c r="A29" s="47"/>
      <c r="B29" s="45" t="s">
        <v>67</v>
      </c>
      <c r="C29" s="6" t="s">
        <v>102</v>
      </c>
      <c r="D29" s="37" t="s">
        <v>103</v>
      </c>
      <c r="E29" s="33">
        <v>14000</v>
      </c>
      <c r="F29" s="33">
        <v>17696.96</v>
      </c>
      <c r="G29" s="33">
        <v>0</v>
      </c>
      <c r="H29" s="33">
        <v>0</v>
      </c>
      <c r="I29" s="33">
        <f>J29*0.5</f>
        <v>7000</v>
      </c>
      <c r="J29" s="33">
        <f>E29</f>
        <v>14000</v>
      </c>
      <c r="M29" s="34">
        <v>21888.14</v>
      </c>
      <c r="N29" s="34">
        <f t="shared" si="11"/>
        <v>17941.098360655738</v>
      </c>
      <c r="O29" s="35" t="s">
        <v>92</v>
      </c>
      <c r="P29" s="35" t="s">
        <v>104</v>
      </c>
      <c r="Q29" s="757"/>
      <c r="R29" s="36">
        <v>7025.37</v>
      </c>
      <c r="S29" s="34">
        <f t="shared" si="12"/>
        <v>7025.37</v>
      </c>
      <c r="T29" s="34"/>
      <c r="U29" t="s">
        <v>105</v>
      </c>
      <c r="V29" s="751"/>
    </row>
    <row r="30" spans="1:24" x14ac:dyDescent="0.25">
      <c r="A30" s="47"/>
      <c r="B30" s="45" t="s">
        <v>67</v>
      </c>
      <c r="C30" s="6" t="s">
        <v>106</v>
      </c>
      <c r="D30" s="32" t="s">
        <v>107</v>
      </c>
      <c r="E30" s="33">
        <v>12500</v>
      </c>
      <c r="F30" s="33">
        <v>25000</v>
      </c>
      <c r="G30" s="33">
        <v>0</v>
      </c>
      <c r="H30" s="33">
        <v>0</v>
      </c>
      <c r="I30" s="57">
        <f>J30*0.5</f>
        <v>6250</v>
      </c>
      <c r="J30" s="57">
        <f>F30*0.5</f>
        <v>12500</v>
      </c>
      <c r="K30" s="53"/>
      <c r="M30" s="34">
        <v>23608</v>
      </c>
      <c r="N30" s="34">
        <f t="shared" si="11"/>
        <v>19350.819672131147</v>
      </c>
      <c r="O30" s="35" t="s">
        <v>92</v>
      </c>
      <c r="P30" s="35" t="s">
        <v>108</v>
      </c>
      <c r="Q30" s="757"/>
      <c r="R30" s="36">
        <v>10743.4</v>
      </c>
      <c r="S30" s="34">
        <f t="shared" si="12"/>
        <v>10743.4</v>
      </c>
      <c r="T30" s="34"/>
      <c r="U30" t="s">
        <v>109</v>
      </c>
      <c r="V30" s="751"/>
    </row>
    <row r="31" spans="1:24" x14ac:dyDescent="0.25">
      <c r="A31" s="47"/>
      <c r="B31" s="45" t="s">
        <v>67</v>
      </c>
      <c r="C31" s="6" t="s">
        <v>110</v>
      </c>
      <c r="D31" s="37" t="s">
        <v>111</v>
      </c>
      <c r="E31" s="33">
        <v>1640</v>
      </c>
      <c r="F31" s="33">
        <v>3280</v>
      </c>
      <c r="G31" s="33">
        <v>0</v>
      </c>
      <c r="H31" s="33">
        <v>0</v>
      </c>
      <c r="I31" s="33">
        <f>J31*0.5</f>
        <v>820</v>
      </c>
      <c r="J31" s="33">
        <f>E31</f>
        <v>1640</v>
      </c>
      <c r="M31" s="34">
        <v>69632.789999999994</v>
      </c>
      <c r="N31" s="34">
        <f t="shared" si="11"/>
        <v>57076.057377049176</v>
      </c>
      <c r="O31" s="35" t="s">
        <v>92</v>
      </c>
      <c r="P31" s="35" t="s">
        <v>112</v>
      </c>
      <c r="Q31" s="757"/>
      <c r="R31" s="36">
        <v>26689.49</v>
      </c>
      <c r="S31" s="34">
        <f t="shared" si="12"/>
        <v>26689.49</v>
      </c>
      <c r="T31" s="34"/>
      <c r="U31" t="s">
        <v>113</v>
      </c>
      <c r="V31" s="751"/>
    </row>
    <row r="32" spans="1:24" x14ac:dyDescent="0.25">
      <c r="A32" s="47"/>
      <c r="B32" s="45" t="s">
        <v>67</v>
      </c>
      <c r="C32" s="6" t="s">
        <v>114</v>
      </c>
      <c r="D32" s="58" t="s">
        <v>115</v>
      </c>
      <c r="E32" s="33">
        <v>1640</v>
      </c>
      <c r="F32" s="33">
        <v>3280</v>
      </c>
      <c r="G32" s="33">
        <v>0</v>
      </c>
      <c r="H32" s="33">
        <v>0</v>
      </c>
      <c r="I32" s="48">
        <f>J32*0.5</f>
        <v>11385</v>
      </c>
      <c r="J32" s="48">
        <f>F32+19490</f>
        <v>22770</v>
      </c>
      <c r="M32" s="34">
        <v>39382.83</v>
      </c>
      <c r="N32" s="34">
        <f t="shared" si="11"/>
        <v>32281.008196721312</v>
      </c>
      <c r="O32" s="35" t="s">
        <v>92</v>
      </c>
      <c r="P32" s="35" t="s">
        <v>116</v>
      </c>
      <c r="Q32" s="757"/>
      <c r="R32" s="36">
        <v>14117.84</v>
      </c>
      <c r="S32" s="34">
        <f t="shared" si="12"/>
        <v>14117.84</v>
      </c>
      <c r="T32" s="34"/>
      <c r="U32" t="s">
        <v>117</v>
      </c>
      <c r="V32" s="751"/>
    </row>
    <row r="33" spans="1:24" x14ac:dyDescent="0.25">
      <c r="A33" s="26" t="s">
        <v>118</v>
      </c>
      <c r="B33" s="27"/>
      <c r="C33" s="27"/>
      <c r="D33" s="26" t="s">
        <v>119</v>
      </c>
      <c r="E33" s="38">
        <f t="shared" ref="E33:J33" si="13">E34+E35</f>
        <v>395114.16000000003</v>
      </c>
      <c r="F33" s="38">
        <f t="shared" si="13"/>
        <v>395114.16</v>
      </c>
      <c r="G33" s="38">
        <f t="shared" si="13"/>
        <v>258732.79999999999</v>
      </c>
      <c r="H33" s="38">
        <f t="shared" si="13"/>
        <v>258732.79999999999</v>
      </c>
      <c r="I33" s="38">
        <f t="shared" si="13"/>
        <v>132834</v>
      </c>
      <c r="J33" s="38">
        <f t="shared" si="13"/>
        <v>265668</v>
      </c>
      <c r="M33" s="34">
        <v>13093.97</v>
      </c>
      <c r="N33" s="34">
        <f t="shared" si="11"/>
        <v>10732.762295081968</v>
      </c>
      <c r="O33" s="35" t="s">
        <v>92</v>
      </c>
      <c r="P33" s="35" t="s">
        <v>120</v>
      </c>
      <c r="Q33" s="757"/>
      <c r="R33" s="36">
        <v>5375.74</v>
      </c>
      <c r="S33" s="34">
        <f t="shared" si="12"/>
        <v>5375.74</v>
      </c>
      <c r="T33" s="34"/>
      <c r="U33" t="s">
        <v>121</v>
      </c>
      <c r="V33" s="751"/>
    </row>
    <row r="34" spans="1:24" x14ac:dyDescent="0.25">
      <c r="A34" s="32" t="s">
        <v>122</v>
      </c>
      <c r="B34" s="6" t="s">
        <v>123</v>
      </c>
      <c r="C34" s="6" t="s">
        <v>124</v>
      </c>
      <c r="D34" s="32" t="s">
        <v>125</v>
      </c>
      <c r="E34" s="33">
        <v>392019.38</v>
      </c>
      <c r="F34" s="33">
        <v>392019.37</v>
      </c>
      <c r="G34" s="33">
        <v>258732.79999999999</v>
      </c>
      <c r="H34" s="33">
        <v>258732.79999999999</v>
      </c>
      <c r="I34" s="33">
        <f>J34/2</f>
        <v>131286.60999999999</v>
      </c>
      <c r="J34" s="33">
        <v>262573.21999999997</v>
      </c>
      <c r="M34" s="34">
        <v>10085.51</v>
      </c>
      <c r="N34" s="34">
        <f t="shared" si="11"/>
        <v>8266.8114754098369</v>
      </c>
      <c r="O34" s="35" t="s">
        <v>92</v>
      </c>
      <c r="P34" s="35" t="s">
        <v>126</v>
      </c>
      <c r="Q34" s="757"/>
      <c r="R34" s="36">
        <v>4133.41</v>
      </c>
      <c r="S34" s="34">
        <f t="shared" si="12"/>
        <v>4133.41</v>
      </c>
      <c r="T34" s="34"/>
      <c r="U34" t="s">
        <v>127</v>
      </c>
      <c r="V34" s="751"/>
    </row>
    <row r="35" spans="1:24" x14ac:dyDescent="0.25">
      <c r="A35" s="37" t="s">
        <v>128</v>
      </c>
      <c r="B35" s="6" t="s">
        <v>129</v>
      </c>
      <c r="C35" s="6" t="s">
        <v>130</v>
      </c>
      <c r="D35" s="37" t="s">
        <v>131</v>
      </c>
      <c r="E35" s="59">
        <v>3094.78</v>
      </c>
      <c r="F35" s="59">
        <v>3094.79</v>
      </c>
      <c r="G35" s="59">
        <v>0</v>
      </c>
      <c r="H35" s="59">
        <v>0</v>
      </c>
      <c r="I35" s="59">
        <f>J35/2</f>
        <v>1547.39</v>
      </c>
      <c r="J35" s="59">
        <v>3094.78</v>
      </c>
      <c r="M35" s="34">
        <v>1040</v>
      </c>
      <c r="N35" s="34">
        <f t="shared" si="11"/>
        <v>852.45901639344265</v>
      </c>
      <c r="O35" s="35" t="s">
        <v>92</v>
      </c>
      <c r="P35" s="35" t="s">
        <v>132</v>
      </c>
      <c r="Q35" s="757"/>
      <c r="R35" s="36">
        <v>656.43</v>
      </c>
      <c r="S35" s="34">
        <f t="shared" si="12"/>
        <v>656.43</v>
      </c>
      <c r="T35" s="34"/>
      <c r="U35" t="s">
        <v>133</v>
      </c>
      <c r="V35" s="751"/>
    </row>
    <row r="36" spans="1:24" x14ac:dyDescent="0.25">
      <c r="A36" s="26" t="s">
        <v>134</v>
      </c>
      <c r="B36" s="27"/>
      <c r="C36" s="27"/>
      <c r="D36" s="26" t="s">
        <v>135</v>
      </c>
      <c r="E36" s="38">
        <f t="shared" ref="E36:J36" si="14">SUM(E37:E40)</f>
        <v>601875.07999999996</v>
      </c>
      <c r="F36" s="38">
        <f t="shared" si="14"/>
        <v>610543.08000000007</v>
      </c>
      <c r="G36" s="38">
        <f t="shared" si="14"/>
        <v>365044.97000000003</v>
      </c>
      <c r="H36" s="38">
        <f t="shared" si="14"/>
        <v>101156.88</v>
      </c>
      <c r="I36" s="38">
        <f t="shared" si="14"/>
        <v>282133.83999999997</v>
      </c>
      <c r="J36" s="38">
        <f t="shared" si="14"/>
        <v>564267.67999999993</v>
      </c>
      <c r="M36" s="34">
        <v>76930.25</v>
      </c>
      <c r="N36" s="34">
        <f t="shared" si="11"/>
        <v>63057.581967213118</v>
      </c>
      <c r="O36" s="35" t="s">
        <v>92</v>
      </c>
      <c r="P36" s="35" t="s">
        <v>136</v>
      </c>
      <c r="Q36" s="757"/>
      <c r="R36" s="36">
        <v>20727.830000000002</v>
      </c>
      <c r="S36" s="34">
        <v>22413.759999999998</v>
      </c>
      <c r="T36" s="34"/>
      <c r="U36" t="s">
        <v>137</v>
      </c>
      <c r="V36" s="751"/>
    </row>
    <row r="37" spans="1:24" ht="15" customHeight="1" x14ac:dyDescent="0.25">
      <c r="A37" s="37" t="s">
        <v>138</v>
      </c>
      <c r="B37" s="6" t="s">
        <v>139</v>
      </c>
      <c r="C37" s="6" t="s">
        <v>140</v>
      </c>
      <c r="D37" s="37" t="s">
        <v>141</v>
      </c>
      <c r="E37" s="59">
        <v>203103.08</v>
      </c>
      <c r="F37" s="59">
        <v>202825.23</v>
      </c>
      <c r="G37" s="59">
        <v>101156.88</v>
      </c>
      <c r="H37" s="59">
        <v>101156.88</v>
      </c>
      <c r="I37" s="59">
        <f>-(I152+I153)</f>
        <v>101551.54</v>
      </c>
      <c r="J37" s="59">
        <f>-(J152+J153)</f>
        <v>203103.08</v>
      </c>
      <c r="M37" s="34">
        <v>59738.080000000002</v>
      </c>
      <c r="N37" s="34">
        <f t="shared" si="11"/>
        <v>48965.639344262301</v>
      </c>
      <c r="O37" s="35" t="s">
        <v>92</v>
      </c>
      <c r="P37" s="35" t="s">
        <v>142</v>
      </c>
      <c r="Q37" s="759"/>
      <c r="R37" s="760">
        <f>51753.45+30877.96+32205.86+33771.77+28375.37+26169.87+28581.06+15707.82+16444.93</f>
        <v>263888.09000000003</v>
      </c>
      <c r="S37" s="758"/>
      <c r="T37" s="758"/>
      <c r="V37" s="751" t="s">
        <v>143</v>
      </c>
      <c r="W37" s="55">
        <f>16444.93+15707.82+28581.06+26169.87+28375.37+33771.77+32205.86+30877.96+51753.45</f>
        <v>263888.08999999997</v>
      </c>
      <c r="X37" t="s">
        <v>96</v>
      </c>
    </row>
    <row r="38" spans="1:24" x14ac:dyDescent="0.25">
      <c r="A38" s="32"/>
      <c r="B38" s="6" t="s">
        <v>139</v>
      </c>
      <c r="C38" s="6" t="s">
        <v>144</v>
      </c>
      <c r="D38" s="60" t="s">
        <v>145</v>
      </c>
      <c r="E38" s="33">
        <v>363155</v>
      </c>
      <c r="F38" s="33">
        <v>372149.58</v>
      </c>
      <c r="G38" s="33">
        <v>263888.09000000003</v>
      </c>
      <c r="H38" s="33">
        <v>0</v>
      </c>
      <c r="I38" s="33">
        <f>J38*0.5</f>
        <v>162773.79999999999</v>
      </c>
      <c r="J38" s="33">
        <v>325547.59999999998</v>
      </c>
      <c r="M38" s="34">
        <v>360000</v>
      </c>
      <c r="N38" s="34">
        <f t="shared" si="11"/>
        <v>295081.96721311478</v>
      </c>
      <c r="O38" s="35" t="s">
        <v>92</v>
      </c>
      <c r="P38" s="35" t="s">
        <v>142</v>
      </c>
      <c r="Q38" s="759"/>
      <c r="R38" s="760"/>
      <c r="S38" s="758"/>
      <c r="T38" s="758"/>
      <c r="V38" s="751"/>
    </row>
    <row r="39" spans="1:24" x14ac:dyDescent="0.25">
      <c r="A39" s="32"/>
      <c r="B39" s="6" t="s">
        <v>139</v>
      </c>
      <c r="C39" s="6" t="s">
        <v>146</v>
      </c>
      <c r="D39" s="37" t="s">
        <v>147</v>
      </c>
      <c r="E39" s="33">
        <v>25000</v>
      </c>
      <c r="F39" s="33">
        <v>24965.8</v>
      </c>
      <c r="G39" s="33">
        <v>0</v>
      </c>
      <c r="H39" s="33">
        <v>0</v>
      </c>
      <c r="I39" s="33">
        <f>-I156</f>
        <v>12500</v>
      </c>
      <c r="J39" s="33">
        <f>-J156</f>
        <v>25000</v>
      </c>
      <c r="M39" s="756" t="s">
        <v>70</v>
      </c>
      <c r="N39" s="756"/>
      <c r="O39" s="756"/>
      <c r="P39" s="756"/>
      <c r="Q39" s="756"/>
    </row>
    <row r="40" spans="1:24" x14ac:dyDescent="0.25">
      <c r="A40" s="32"/>
      <c r="B40" s="6" t="s">
        <v>139</v>
      </c>
      <c r="C40" s="6" t="s">
        <v>148</v>
      </c>
      <c r="D40" s="37" t="s">
        <v>149</v>
      </c>
      <c r="E40" s="33">
        <v>10617</v>
      </c>
      <c r="F40" s="33">
        <v>10602.47</v>
      </c>
      <c r="G40" s="33">
        <v>0</v>
      </c>
      <c r="H40" s="33">
        <v>0</v>
      </c>
      <c r="I40" s="33">
        <f>J40*0.5</f>
        <v>5308.5</v>
      </c>
      <c r="J40" s="33">
        <f>E40</f>
        <v>10617</v>
      </c>
      <c r="M40" s="3" t="s">
        <v>23</v>
      </c>
      <c r="N40" s="3" t="s">
        <v>24</v>
      </c>
      <c r="O40" s="3"/>
      <c r="P40" s="3"/>
      <c r="Q40" s="3"/>
      <c r="R40" s="30" t="s">
        <v>25</v>
      </c>
      <c r="S40" s="30" t="s">
        <v>26</v>
      </c>
      <c r="T40" s="30" t="s">
        <v>89</v>
      </c>
    </row>
    <row r="41" spans="1:24" ht="15" customHeight="1" x14ac:dyDescent="0.25">
      <c r="A41" s="26" t="s">
        <v>150</v>
      </c>
      <c r="B41" s="27"/>
      <c r="C41" s="27"/>
      <c r="D41" s="26" t="s">
        <v>151</v>
      </c>
      <c r="E41" s="38">
        <f t="shared" ref="E41:J41" si="15">E42</f>
        <v>305516</v>
      </c>
      <c r="F41" s="38">
        <f t="shared" si="15"/>
        <v>305516.39</v>
      </c>
      <c r="G41" s="38">
        <f t="shared" si="15"/>
        <v>152758.19</v>
      </c>
      <c r="H41" s="38">
        <f t="shared" si="15"/>
        <v>152758.19</v>
      </c>
      <c r="I41" s="38">
        <f t="shared" si="15"/>
        <v>152758.19500000001</v>
      </c>
      <c r="J41" s="38">
        <f t="shared" si="15"/>
        <v>305516.39</v>
      </c>
      <c r="M41" s="34">
        <v>4317.58</v>
      </c>
      <c r="N41" s="34">
        <f>M41/1.22</f>
        <v>3539</v>
      </c>
      <c r="O41" s="35" t="s">
        <v>92</v>
      </c>
      <c r="P41" s="35" t="s">
        <v>136</v>
      </c>
      <c r="Q41" s="757">
        <f>SUM(M41:M43)</f>
        <v>12952.74</v>
      </c>
      <c r="R41" s="758"/>
      <c r="S41" s="758">
        <f>SUM(N41:N43)</f>
        <v>10617</v>
      </c>
      <c r="T41" s="758"/>
      <c r="U41" t="s">
        <v>152</v>
      </c>
      <c r="V41" s="751" t="s">
        <v>153</v>
      </c>
    </row>
    <row r="42" spans="1:24" x14ac:dyDescent="0.25">
      <c r="A42" s="32" t="s">
        <v>154</v>
      </c>
      <c r="B42" s="6" t="s">
        <v>155</v>
      </c>
      <c r="C42" s="6" t="s">
        <v>156</v>
      </c>
      <c r="D42" s="32" t="s">
        <v>157</v>
      </c>
      <c r="E42" s="33">
        <v>305516</v>
      </c>
      <c r="F42" s="33">
        <v>305516.39</v>
      </c>
      <c r="G42" s="33">
        <v>152758.19</v>
      </c>
      <c r="H42" s="33">
        <v>152758.19</v>
      </c>
      <c r="I42" s="33">
        <f>J42*0.5</f>
        <v>152758.19500000001</v>
      </c>
      <c r="J42" s="33">
        <f>F42</f>
        <v>305516.39</v>
      </c>
      <c r="M42" s="34">
        <v>4317.58</v>
      </c>
      <c r="N42" s="34">
        <f>M42/1.22</f>
        <v>3539</v>
      </c>
      <c r="O42" s="35" t="s">
        <v>92</v>
      </c>
      <c r="P42" s="35" t="s">
        <v>112</v>
      </c>
      <c r="Q42" s="757"/>
      <c r="R42" s="758"/>
      <c r="S42" s="758"/>
      <c r="T42" s="758"/>
      <c r="U42" t="s">
        <v>152</v>
      </c>
      <c r="V42" s="751"/>
    </row>
    <row r="43" spans="1:24" x14ac:dyDescent="0.25">
      <c r="A43" s="23" t="s">
        <v>158</v>
      </c>
      <c r="B43" s="24"/>
      <c r="C43" s="24"/>
      <c r="D43" s="23" t="s">
        <v>159</v>
      </c>
      <c r="E43" s="61">
        <f t="shared" ref="E43:J43" si="16">E44+E45+E46</f>
        <v>32786.885245901605</v>
      </c>
      <c r="F43" s="61">
        <f t="shared" si="16"/>
        <v>32553.27</v>
      </c>
      <c r="G43" s="61">
        <f t="shared" si="16"/>
        <v>0</v>
      </c>
      <c r="H43" s="61">
        <f t="shared" si="16"/>
        <v>0</v>
      </c>
      <c r="I43" s="61">
        <f t="shared" si="16"/>
        <v>19797.8125</v>
      </c>
      <c r="J43" s="61">
        <f t="shared" si="16"/>
        <v>39595.625</v>
      </c>
      <c r="M43" s="34">
        <v>4317.58</v>
      </c>
      <c r="N43" s="34">
        <f>M43/1.22</f>
        <v>3539</v>
      </c>
      <c r="O43" s="35" t="s">
        <v>92</v>
      </c>
      <c r="P43" s="35" t="s">
        <v>116</v>
      </c>
      <c r="Q43" s="757"/>
      <c r="R43" s="758"/>
      <c r="S43" s="758"/>
      <c r="T43" s="758"/>
      <c r="U43" t="s">
        <v>152</v>
      </c>
      <c r="V43" s="751"/>
    </row>
    <row r="44" spans="1:24" x14ac:dyDescent="0.25">
      <c r="A44" s="32" t="s">
        <v>160</v>
      </c>
      <c r="B44" s="62" t="s">
        <v>161</v>
      </c>
      <c r="C44" s="6" t="s">
        <v>162</v>
      </c>
      <c r="D44" s="32" t="s">
        <v>163</v>
      </c>
      <c r="E44" s="33">
        <v>15419</v>
      </c>
      <c r="F44" s="33">
        <v>15419</v>
      </c>
      <c r="G44" s="33">
        <v>0</v>
      </c>
      <c r="H44" s="33">
        <v>0</v>
      </c>
      <c r="I44" s="33">
        <f>J44*0.5</f>
        <v>7709.5</v>
      </c>
      <c r="J44" s="33">
        <f>F44</f>
        <v>15419</v>
      </c>
    </row>
    <row r="45" spans="1:24" x14ac:dyDescent="0.25">
      <c r="A45" s="37" t="s">
        <v>164</v>
      </c>
      <c r="B45" s="6" t="s">
        <v>161</v>
      </c>
      <c r="C45" s="6" t="s">
        <v>165</v>
      </c>
      <c r="D45" s="37" t="s">
        <v>166</v>
      </c>
      <c r="E45" s="33">
        <v>17367.885245901602</v>
      </c>
      <c r="F45" s="33">
        <v>17134.27</v>
      </c>
      <c r="G45" s="33">
        <v>0</v>
      </c>
      <c r="H45" s="33">
        <v>0</v>
      </c>
      <c r="I45" s="33">
        <f>J45*0.5</f>
        <v>8250</v>
      </c>
      <c r="J45" s="33">
        <f>-J160*1.1</f>
        <v>16500</v>
      </c>
    </row>
    <row r="46" spans="1:24" x14ac:dyDescent="0.25">
      <c r="A46" s="37"/>
      <c r="B46" s="6" t="s">
        <v>161</v>
      </c>
      <c r="C46" s="6" t="s">
        <v>167</v>
      </c>
      <c r="D46" s="37" t="s">
        <v>168</v>
      </c>
      <c r="E46" s="33">
        <v>0</v>
      </c>
      <c r="F46" s="33">
        <v>0</v>
      </c>
      <c r="G46" s="33">
        <v>0</v>
      </c>
      <c r="H46" s="33">
        <v>0</v>
      </c>
      <c r="I46" s="33">
        <f>J46*0.5</f>
        <v>3838.3125000000005</v>
      </c>
      <c r="J46" s="33">
        <f>-(J161*1.1)</f>
        <v>7676.6250000000009</v>
      </c>
    </row>
    <row r="47" spans="1:24" x14ac:dyDescent="0.25">
      <c r="A47" s="23" t="s">
        <v>169</v>
      </c>
      <c r="B47" s="24"/>
      <c r="C47" s="24"/>
      <c r="D47" s="23" t="s">
        <v>170</v>
      </c>
      <c r="E47" s="61">
        <f t="shared" ref="E47:J47" si="17">SUM(E48:E51)</f>
        <v>172734.08000000002</v>
      </c>
      <c r="F47" s="61">
        <f t="shared" si="17"/>
        <v>172733.28</v>
      </c>
      <c r="G47" s="61">
        <f t="shared" si="17"/>
        <v>114311.63</v>
      </c>
      <c r="H47" s="61">
        <f t="shared" si="17"/>
        <v>114311.63</v>
      </c>
      <c r="I47" s="61">
        <f t="shared" si="17"/>
        <v>86367.040000000008</v>
      </c>
      <c r="J47" s="61">
        <f t="shared" si="17"/>
        <v>172734.08000000002</v>
      </c>
    </row>
    <row r="48" spans="1:24" x14ac:dyDescent="0.25">
      <c r="A48" s="32" t="s">
        <v>171</v>
      </c>
      <c r="B48" s="6" t="s">
        <v>172</v>
      </c>
      <c r="C48" s="6" t="s">
        <v>173</v>
      </c>
      <c r="D48" s="32" t="s">
        <v>174</v>
      </c>
      <c r="E48" s="33">
        <v>61065.57</v>
      </c>
      <c r="F48" s="33">
        <v>61065.57</v>
      </c>
      <c r="G48" s="33">
        <v>30532.78</v>
      </c>
      <c r="H48" s="33">
        <v>30532.78</v>
      </c>
      <c r="I48" s="33">
        <f>J48*0.5</f>
        <v>30532.785</v>
      </c>
      <c r="J48" s="33">
        <v>61065.57</v>
      </c>
    </row>
    <row r="49" spans="1:15" x14ac:dyDescent="0.25">
      <c r="A49" s="37" t="s">
        <v>175</v>
      </c>
      <c r="B49" s="6" t="s">
        <v>172</v>
      </c>
      <c r="C49" s="6" t="s">
        <v>176</v>
      </c>
      <c r="D49" s="37" t="s">
        <v>177</v>
      </c>
      <c r="E49" s="59">
        <v>25931.15</v>
      </c>
      <c r="F49" s="59">
        <v>25931.15</v>
      </c>
      <c r="G49" s="59">
        <v>12965.57</v>
      </c>
      <c r="H49" s="59">
        <v>12965.57</v>
      </c>
      <c r="I49" s="33">
        <f>J49*0.5</f>
        <v>12965.575000000001</v>
      </c>
      <c r="J49" s="59">
        <v>25931.15</v>
      </c>
    </row>
    <row r="50" spans="1:15" x14ac:dyDescent="0.25">
      <c r="A50" s="32" t="s">
        <v>178</v>
      </c>
      <c r="B50" s="6" t="s">
        <v>172</v>
      </c>
      <c r="C50" s="6" t="s">
        <v>179</v>
      </c>
      <c r="D50" s="32" t="s">
        <v>180</v>
      </c>
      <c r="E50" s="33">
        <v>4778.3599999999997</v>
      </c>
      <c r="F50" s="33">
        <v>4778.3599999999997</v>
      </c>
      <c r="G50" s="33">
        <v>2389.1799999999998</v>
      </c>
      <c r="H50" s="33">
        <v>2389.1799999999998</v>
      </c>
      <c r="I50" s="33">
        <f>J50*0.5</f>
        <v>2389.1799999999998</v>
      </c>
      <c r="J50" s="33">
        <v>4778.3599999999997</v>
      </c>
      <c r="N50" s="63" t="s">
        <v>181</v>
      </c>
      <c r="O50" s="64"/>
    </row>
    <row r="51" spans="1:15" x14ac:dyDescent="0.25">
      <c r="A51" s="32"/>
      <c r="B51" s="6" t="s">
        <v>172</v>
      </c>
      <c r="C51" s="6" t="s">
        <v>182</v>
      </c>
      <c r="D51" s="32" t="s">
        <v>183</v>
      </c>
      <c r="E51" s="33">
        <v>80959</v>
      </c>
      <c r="F51" s="33">
        <v>80958.2</v>
      </c>
      <c r="G51" s="33">
        <v>68424.100000000006</v>
      </c>
      <c r="H51" s="33">
        <v>68424.100000000006</v>
      </c>
      <c r="I51" s="33">
        <f>J51*0.5</f>
        <v>40479.5</v>
      </c>
      <c r="J51" s="33">
        <f>N51+N52</f>
        <v>80959</v>
      </c>
      <c r="K51" t="s">
        <v>184</v>
      </c>
      <c r="N51" s="65">
        <v>55890</v>
      </c>
      <c r="O51" s="66" t="s">
        <v>185</v>
      </c>
    </row>
    <row r="52" spans="1:15" x14ac:dyDescent="0.25">
      <c r="A52" s="67" t="s">
        <v>186</v>
      </c>
      <c r="B52" s="68"/>
      <c r="C52" s="68"/>
      <c r="D52" s="67" t="s">
        <v>187</v>
      </c>
      <c r="E52" s="61">
        <f t="shared" ref="E52:J52" si="18">SUM(E53:E60)</f>
        <v>555505.69999999995</v>
      </c>
      <c r="F52" s="61">
        <f t="shared" si="18"/>
        <v>14334.18</v>
      </c>
      <c r="G52" s="61">
        <f t="shared" si="18"/>
        <v>33934.43</v>
      </c>
      <c r="H52" s="61">
        <f t="shared" si="18"/>
        <v>33934.43</v>
      </c>
      <c r="I52" s="61">
        <f t="shared" si="18"/>
        <v>130785.35</v>
      </c>
      <c r="J52" s="61">
        <f t="shared" si="18"/>
        <v>261570.7</v>
      </c>
      <c r="N52" s="65">
        <f>-L165-L166-L167</f>
        <v>25069</v>
      </c>
      <c r="O52" s="66" t="s">
        <v>188</v>
      </c>
    </row>
    <row r="53" spans="1:15" x14ac:dyDescent="0.25">
      <c r="A53" s="32" t="s">
        <v>189</v>
      </c>
      <c r="B53" s="6" t="s">
        <v>190</v>
      </c>
      <c r="C53" s="6" t="s">
        <v>191</v>
      </c>
      <c r="D53" s="32" t="s">
        <v>192</v>
      </c>
      <c r="E53" s="33">
        <v>11928</v>
      </c>
      <c r="F53" s="33">
        <v>0</v>
      </c>
      <c r="G53" s="33">
        <v>0</v>
      </c>
      <c r="H53" s="33">
        <v>0</v>
      </c>
      <c r="I53" s="33">
        <f t="shared" ref="I53:I60" si="19">J53*0.5</f>
        <v>5964</v>
      </c>
      <c r="J53" s="33">
        <v>11928</v>
      </c>
      <c r="M53" s="752" t="s">
        <v>193</v>
      </c>
      <c r="N53" s="752"/>
      <c r="O53" s="752"/>
    </row>
    <row r="54" spans="1:15" x14ac:dyDescent="0.25">
      <c r="A54" s="37" t="s">
        <v>194</v>
      </c>
      <c r="B54" s="6" t="s">
        <v>190</v>
      </c>
      <c r="C54" s="6" t="s">
        <v>195</v>
      </c>
      <c r="D54" s="37" t="s">
        <v>196</v>
      </c>
      <c r="E54" s="33">
        <v>2539</v>
      </c>
      <c r="F54" s="33">
        <v>0</v>
      </c>
      <c r="G54" s="33">
        <v>0</v>
      </c>
      <c r="H54" s="33">
        <v>0</v>
      </c>
      <c r="I54" s="33">
        <f t="shared" si="19"/>
        <v>1269.5</v>
      </c>
      <c r="J54" s="33">
        <v>2539</v>
      </c>
      <c r="M54" s="69" t="s">
        <v>197</v>
      </c>
      <c r="N54" s="65">
        <v>27945</v>
      </c>
      <c r="O54" s="66" t="s">
        <v>198</v>
      </c>
    </row>
    <row r="55" spans="1:15" x14ac:dyDescent="0.25">
      <c r="A55" s="32" t="s">
        <v>199</v>
      </c>
      <c r="B55" s="6" t="s">
        <v>190</v>
      </c>
      <c r="C55" s="6" t="s">
        <v>200</v>
      </c>
      <c r="D55" s="32" t="s">
        <v>201</v>
      </c>
      <c r="E55" s="33">
        <v>7027</v>
      </c>
      <c r="F55" s="33">
        <v>0</v>
      </c>
      <c r="G55" s="33">
        <v>0</v>
      </c>
      <c r="H55" s="33">
        <v>0</v>
      </c>
      <c r="I55" s="33">
        <f t="shared" si="19"/>
        <v>3513.5</v>
      </c>
      <c r="J55" s="33">
        <v>7027</v>
      </c>
      <c r="M55" s="69" t="s">
        <v>202</v>
      </c>
      <c r="N55" s="65">
        <v>40479.1</v>
      </c>
      <c r="O55" s="66" t="s">
        <v>203</v>
      </c>
    </row>
    <row r="56" spans="1:15" ht="15" customHeight="1" x14ac:dyDescent="0.25">
      <c r="A56" s="37" t="s">
        <v>204</v>
      </c>
      <c r="B56" s="6" t="s">
        <v>190</v>
      </c>
      <c r="C56" s="6" t="s">
        <v>205</v>
      </c>
      <c r="D56" s="37" t="s">
        <v>206</v>
      </c>
      <c r="E56" s="33">
        <v>5277</v>
      </c>
      <c r="F56" s="33">
        <v>0</v>
      </c>
      <c r="G56" s="33">
        <v>0</v>
      </c>
      <c r="H56" s="33">
        <v>0</v>
      </c>
      <c r="I56" s="33">
        <f t="shared" si="19"/>
        <v>2638.5</v>
      </c>
      <c r="J56" s="33">
        <v>5277</v>
      </c>
      <c r="M56" s="753" t="s">
        <v>207</v>
      </c>
      <c r="N56" s="753"/>
      <c r="O56" s="753"/>
    </row>
    <row r="57" spans="1:15" x14ac:dyDescent="0.25">
      <c r="A57" s="32" t="s">
        <v>208</v>
      </c>
      <c r="B57" s="6" t="s">
        <v>190</v>
      </c>
      <c r="C57" s="6" t="s">
        <v>209</v>
      </c>
      <c r="D57" s="32" t="s">
        <v>210</v>
      </c>
      <c r="E57" s="33">
        <v>17368</v>
      </c>
      <c r="F57" s="33">
        <v>0</v>
      </c>
      <c r="G57" s="33">
        <v>0</v>
      </c>
      <c r="H57" s="33">
        <v>0</v>
      </c>
      <c r="I57" s="33">
        <f t="shared" si="19"/>
        <v>8684</v>
      </c>
      <c r="J57" s="33">
        <v>17368</v>
      </c>
      <c r="M57" s="753"/>
      <c r="N57" s="753"/>
      <c r="O57" s="753"/>
    </row>
    <row r="58" spans="1:15" x14ac:dyDescent="0.25">
      <c r="A58" s="37" t="s">
        <v>211</v>
      </c>
      <c r="B58" s="6" t="s">
        <v>190</v>
      </c>
      <c r="C58" s="6" t="s">
        <v>212</v>
      </c>
      <c r="D58" s="37" t="s">
        <v>213</v>
      </c>
      <c r="E58" s="33">
        <v>73688</v>
      </c>
      <c r="F58" s="33">
        <v>14334.18</v>
      </c>
      <c r="G58" s="33">
        <v>0</v>
      </c>
      <c r="H58" s="33">
        <v>0</v>
      </c>
      <c r="I58" s="33">
        <f t="shared" si="19"/>
        <v>36844</v>
      </c>
      <c r="J58" s="33">
        <f>E58</f>
        <v>73688</v>
      </c>
      <c r="M58" s="753"/>
      <c r="N58" s="753"/>
      <c r="O58" s="753"/>
    </row>
    <row r="59" spans="1:15" x14ac:dyDescent="0.25">
      <c r="A59" s="37"/>
      <c r="B59" s="6" t="s">
        <v>190</v>
      </c>
      <c r="C59" s="6" t="s">
        <v>214</v>
      </c>
      <c r="D59" s="32" t="s">
        <v>215</v>
      </c>
      <c r="E59" s="33">
        <v>389441</v>
      </c>
      <c r="F59" s="33">
        <v>0</v>
      </c>
      <c r="G59" s="33">
        <v>33934.43</v>
      </c>
      <c r="H59" s="33">
        <v>33934.43</v>
      </c>
      <c r="I59" s="33">
        <f t="shared" si="19"/>
        <v>47753</v>
      </c>
      <c r="J59" s="33">
        <f>33934+46000+5572+10000</f>
        <v>95506</v>
      </c>
      <c r="M59" s="753"/>
      <c r="N59" s="753"/>
      <c r="O59" s="753"/>
    </row>
    <row r="60" spans="1:15" x14ac:dyDescent="0.25">
      <c r="A60" s="37"/>
      <c r="B60" s="6" t="s">
        <v>190</v>
      </c>
      <c r="C60" s="6" t="s">
        <v>216</v>
      </c>
      <c r="D60" s="32" t="s">
        <v>217</v>
      </c>
      <c r="E60" s="33">
        <v>48237.7</v>
      </c>
      <c r="F60" s="33">
        <v>0</v>
      </c>
      <c r="G60" s="33">
        <v>0</v>
      </c>
      <c r="H60" s="33">
        <v>0</v>
      </c>
      <c r="I60" s="33">
        <f t="shared" si="19"/>
        <v>24118.85</v>
      </c>
      <c r="J60" s="33">
        <v>48237.7</v>
      </c>
      <c r="N60" s="70"/>
    </row>
    <row r="61" spans="1:15" x14ac:dyDescent="0.25">
      <c r="A61" s="23" t="s">
        <v>218</v>
      </c>
      <c r="B61" s="24"/>
      <c r="C61" s="24"/>
      <c r="D61" s="23" t="s">
        <v>219</v>
      </c>
      <c r="E61" s="61">
        <f>E62</f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</row>
    <row r="62" spans="1:15" x14ac:dyDescent="0.25">
      <c r="A62" s="37" t="s">
        <v>220</v>
      </c>
      <c r="B62" s="62" t="s">
        <v>221</v>
      </c>
      <c r="C62" s="6" t="s">
        <v>222</v>
      </c>
      <c r="D62" s="37" t="s">
        <v>223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</row>
    <row r="63" spans="1:15" x14ac:dyDescent="0.25">
      <c r="A63" s="23" t="s">
        <v>224</v>
      </c>
      <c r="B63" s="24"/>
      <c r="C63" s="24"/>
      <c r="D63" s="23" t="s">
        <v>225</v>
      </c>
      <c r="E63" s="61">
        <f t="shared" ref="E63:J63" si="20">E64</f>
        <v>15000</v>
      </c>
      <c r="F63" s="61">
        <f t="shared" si="20"/>
        <v>0</v>
      </c>
      <c r="G63" s="61">
        <f t="shared" si="20"/>
        <v>1440</v>
      </c>
      <c r="H63" s="61">
        <f t="shared" si="20"/>
        <v>1440</v>
      </c>
      <c r="I63" s="61">
        <f t="shared" si="20"/>
        <v>7211.538461538461</v>
      </c>
      <c r="J63" s="61">
        <f t="shared" si="20"/>
        <v>14423.076923076922</v>
      </c>
    </row>
    <row r="64" spans="1:15" x14ac:dyDescent="0.25">
      <c r="A64" s="37" t="s">
        <v>226</v>
      </c>
      <c r="B64" s="62" t="s">
        <v>227</v>
      </c>
      <c r="C64" s="6" t="s">
        <v>228</v>
      </c>
      <c r="D64" s="37" t="s">
        <v>229</v>
      </c>
      <c r="E64" s="33">
        <v>15000</v>
      </c>
      <c r="F64" s="33">
        <v>0</v>
      </c>
      <c r="G64" s="33">
        <v>1440</v>
      </c>
      <c r="H64" s="33">
        <v>1440</v>
      </c>
      <c r="I64" s="33">
        <f>J64*0.5</f>
        <v>7211.538461538461</v>
      </c>
      <c r="J64" s="33">
        <f>15000/1.04</f>
        <v>14423.076923076922</v>
      </c>
      <c r="K64" t="s">
        <v>230</v>
      </c>
    </row>
    <row r="65" spans="1:10" x14ac:dyDescent="0.25">
      <c r="A65" s="23" t="s">
        <v>231</v>
      </c>
      <c r="B65" s="24"/>
      <c r="C65" s="24"/>
      <c r="D65" s="23" t="s">
        <v>232</v>
      </c>
      <c r="E65" s="61">
        <f t="shared" ref="E65:J65" si="21">SUM(E66:E79)</f>
        <v>79115.404371584707</v>
      </c>
      <c r="F65" s="61">
        <f t="shared" si="21"/>
        <v>154926.79</v>
      </c>
      <c r="G65" s="61">
        <f t="shared" si="21"/>
        <v>5000</v>
      </c>
      <c r="H65" s="61">
        <f t="shared" si="21"/>
        <v>5000</v>
      </c>
      <c r="I65" s="61">
        <f t="shared" si="21"/>
        <v>62980.160000000003</v>
      </c>
      <c r="J65" s="61">
        <f t="shared" si="21"/>
        <v>125960.32000000001</v>
      </c>
    </row>
    <row r="66" spans="1:10" x14ac:dyDescent="0.25">
      <c r="A66" s="37" t="s">
        <v>233</v>
      </c>
      <c r="B66" s="62" t="s">
        <v>234</v>
      </c>
      <c r="C66" s="6" t="s">
        <v>235</v>
      </c>
      <c r="D66" s="32" t="s">
        <v>236</v>
      </c>
      <c r="E66" s="33">
        <v>4200</v>
      </c>
      <c r="F66" s="33">
        <v>4200</v>
      </c>
      <c r="G66" s="33">
        <v>0</v>
      </c>
      <c r="H66" s="33">
        <v>0</v>
      </c>
      <c r="I66" s="33">
        <f t="shared" ref="I66:I79" si="22">J66*0.5</f>
        <v>2100</v>
      </c>
      <c r="J66" s="33">
        <v>4200</v>
      </c>
    </row>
    <row r="67" spans="1:10" x14ac:dyDescent="0.25">
      <c r="A67" s="32" t="s">
        <v>237</v>
      </c>
      <c r="B67" s="62" t="s">
        <v>234</v>
      </c>
      <c r="C67" s="6" t="s">
        <v>238</v>
      </c>
      <c r="D67" s="32" t="s">
        <v>239</v>
      </c>
      <c r="E67" s="33">
        <v>9546</v>
      </c>
      <c r="F67" s="33">
        <v>9546</v>
      </c>
      <c r="G67" s="33">
        <v>0</v>
      </c>
      <c r="H67" s="33">
        <v>0</v>
      </c>
      <c r="I67" s="33">
        <f t="shared" si="22"/>
        <v>4773</v>
      </c>
      <c r="J67" s="33">
        <v>9546</v>
      </c>
    </row>
    <row r="68" spans="1:10" x14ac:dyDescent="0.25">
      <c r="A68" s="32" t="s">
        <v>240</v>
      </c>
      <c r="B68" s="62" t="s">
        <v>234</v>
      </c>
      <c r="C68" s="6" t="s">
        <v>241</v>
      </c>
      <c r="D68" s="32" t="s">
        <v>242</v>
      </c>
      <c r="E68" s="33">
        <v>5820</v>
      </c>
      <c r="F68" s="33">
        <v>5820</v>
      </c>
      <c r="G68" s="33">
        <v>0</v>
      </c>
      <c r="H68" s="33">
        <v>0</v>
      </c>
      <c r="I68" s="33">
        <f t="shared" si="22"/>
        <v>3222.5</v>
      </c>
      <c r="J68" s="33">
        <f>5820+625</f>
        <v>6445</v>
      </c>
    </row>
    <row r="69" spans="1:10" x14ac:dyDescent="0.25">
      <c r="A69" s="32" t="s">
        <v>243</v>
      </c>
      <c r="B69" s="62" t="s">
        <v>234</v>
      </c>
      <c r="C69" s="6" t="s">
        <v>244</v>
      </c>
      <c r="D69" s="32" t="s">
        <v>245</v>
      </c>
      <c r="E69" s="33">
        <v>1960</v>
      </c>
      <c r="F69" s="33">
        <v>0</v>
      </c>
      <c r="G69" s="33">
        <v>0</v>
      </c>
      <c r="H69" s="33">
        <v>0</v>
      </c>
      <c r="I69" s="33">
        <f t="shared" si="22"/>
        <v>980</v>
      </c>
      <c r="J69" s="33">
        <f>1360+600</f>
        <v>1960</v>
      </c>
    </row>
    <row r="70" spans="1:10" x14ac:dyDescent="0.25">
      <c r="A70" s="37" t="s">
        <v>246</v>
      </c>
      <c r="B70" s="62" t="s">
        <v>234</v>
      </c>
      <c r="C70" s="6" t="s">
        <v>247</v>
      </c>
      <c r="D70" s="32" t="s">
        <v>248</v>
      </c>
      <c r="E70" s="59">
        <v>845</v>
      </c>
      <c r="F70" s="59">
        <v>845</v>
      </c>
      <c r="G70" s="59">
        <v>0</v>
      </c>
      <c r="H70" s="59">
        <v>0</v>
      </c>
      <c r="I70" s="59">
        <f t="shared" si="22"/>
        <v>422.5</v>
      </c>
      <c r="J70" s="59">
        <f>845</f>
        <v>845</v>
      </c>
    </row>
    <row r="71" spans="1:10" x14ac:dyDescent="0.25">
      <c r="A71" s="37" t="s">
        <v>249</v>
      </c>
      <c r="B71" s="62" t="s">
        <v>234</v>
      </c>
      <c r="C71" s="6" t="s">
        <v>250</v>
      </c>
      <c r="D71" s="32" t="s">
        <v>251</v>
      </c>
      <c r="E71" s="59">
        <v>3000</v>
      </c>
      <c r="F71" s="59">
        <v>3000</v>
      </c>
      <c r="G71" s="59">
        <v>0</v>
      </c>
      <c r="H71" s="59">
        <v>0</v>
      </c>
      <c r="I71" s="33">
        <f t="shared" si="22"/>
        <v>1500</v>
      </c>
      <c r="J71" s="33">
        <v>3000</v>
      </c>
    </row>
    <row r="72" spans="1:10" x14ac:dyDescent="0.25">
      <c r="A72" s="32" t="s">
        <v>252</v>
      </c>
      <c r="B72" s="62" t="s">
        <v>234</v>
      </c>
      <c r="C72" s="6" t="s">
        <v>253</v>
      </c>
      <c r="D72" s="32" t="s">
        <v>254</v>
      </c>
      <c r="E72" s="33">
        <v>5000</v>
      </c>
      <c r="F72" s="33">
        <v>5000</v>
      </c>
      <c r="G72" s="33">
        <v>5000</v>
      </c>
      <c r="H72" s="33">
        <v>5000</v>
      </c>
      <c r="I72" s="33">
        <f t="shared" si="22"/>
        <v>2500</v>
      </c>
      <c r="J72" s="33">
        <v>5000</v>
      </c>
    </row>
    <row r="73" spans="1:10" x14ac:dyDescent="0.25">
      <c r="A73" s="32"/>
      <c r="B73" s="6" t="s">
        <v>234</v>
      </c>
      <c r="C73" s="6" t="s">
        <v>255</v>
      </c>
      <c r="D73" s="32" t="s">
        <v>256</v>
      </c>
      <c r="E73" s="33">
        <v>4122</v>
      </c>
      <c r="F73" s="33">
        <v>4214.55</v>
      </c>
      <c r="G73" s="33">
        <v>0</v>
      </c>
      <c r="H73" s="33">
        <v>0</v>
      </c>
      <c r="I73" s="33">
        <f t="shared" si="22"/>
        <v>2061</v>
      </c>
      <c r="J73" s="33">
        <v>4122</v>
      </c>
    </row>
    <row r="74" spans="1:10" x14ac:dyDescent="0.25">
      <c r="A74" s="32"/>
      <c r="B74" s="6" t="s">
        <v>234</v>
      </c>
      <c r="C74" s="6" t="s">
        <v>257</v>
      </c>
      <c r="D74" s="32" t="s">
        <v>258</v>
      </c>
      <c r="E74" s="33">
        <v>4900</v>
      </c>
      <c r="F74" s="33">
        <v>4895.5200000000004</v>
      </c>
      <c r="G74" s="33">
        <v>0</v>
      </c>
      <c r="H74" s="33">
        <v>0</v>
      </c>
      <c r="I74" s="33">
        <f t="shared" si="22"/>
        <v>2450</v>
      </c>
      <c r="J74" s="33">
        <v>4900</v>
      </c>
    </row>
    <row r="75" spans="1:10" x14ac:dyDescent="0.25">
      <c r="A75" s="32"/>
      <c r="B75" s="6" t="s">
        <v>234</v>
      </c>
      <c r="C75" s="6" t="s">
        <v>259</v>
      </c>
      <c r="D75" s="32" t="s">
        <v>260</v>
      </c>
      <c r="E75" s="33">
        <v>2400</v>
      </c>
      <c r="F75" s="33">
        <v>0</v>
      </c>
      <c r="G75" s="33">
        <v>0</v>
      </c>
      <c r="H75" s="33">
        <v>0</v>
      </c>
      <c r="I75" s="33">
        <f t="shared" si="22"/>
        <v>1200</v>
      </c>
      <c r="J75" s="33">
        <v>2400</v>
      </c>
    </row>
    <row r="76" spans="1:10" x14ac:dyDescent="0.25">
      <c r="A76" s="32"/>
      <c r="B76" s="6" t="s">
        <v>234</v>
      </c>
      <c r="C76" s="6" t="s">
        <v>261</v>
      </c>
      <c r="D76" s="32" t="s">
        <v>262</v>
      </c>
      <c r="E76" s="33">
        <v>27322.4043715847</v>
      </c>
      <c r="F76" s="33">
        <v>63651.31</v>
      </c>
      <c r="G76" s="33">
        <v>0</v>
      </c>
      <c r="H76" s="33">
        <v>0</v>
      </c>
      <c r="I76" s="33">
        <f t="shared" si="22"/>
        <v>21116.66</v>
      </c>
      <c r="J76" s="33">
        <f>11848.5+1579.8+25513.77+3291.25</f>
        <v>42233.32</v>
      </c>
    </row>
    <row r="77" spans="1:10" x14ac:dyDescent="0.25">
      <c r="A77" s="32"/>
      <c r="B77" s="6" t="s">
        <v>234</v>
      </c>
      <c r="C77" s="6" t="s">
        <v>263</v>
      </c>
      <c r="D77" s="32" t="s">
        <v>264</v>
      </c>
      <c r="E77" s="33">
        <v>10000</v>
      </c>
      <c r="F77" s="33">
        <v>16338.79</v>
      </c>
      <c r="G77" s="33">
        <v>0</v>
      </c>
      <c r="H77" s="33">
        <v>0</v>
      </c>
      <c r="I77" s="33">
        <f t="shared" si="22"/>
        <v>9654.5</v>
      </c>
      <c r="J77" s="33">
        <f>10000+6250+2459+600</f>
        <v>19309</v>
      </c>
    </row>
    <row r="78" spans="1:10" x14ac:dyDescent="0.25">
      <c r="A78" s="32"/>
      <c r="B78" s="6" t="s">
        <v>234</v>
      </c>
      <c r="C78" s="6" t="s">
        <v>265</v>
      </c>
      <c r="D78" s="32" t="s">
        <v>266</v>
      </c>
      <c r="E78" s="33">
        <v>0</v>
      </c>
      <c r="F78" s="33">
        <v>29415.62</v>
      </c>
      <c r="G78" s="33">
        <v>0</v>
      </c>
      <c r="H78" s="33">
        <v>0</v>
      </c>
      <c r="I78" s="33">
        <f t="shared" si="22"/>
        <v>9000</v>
      </c>
      <c r="J78" s="33">
        <f>18000</f>
        <v>18000</v>
      </c>
    </row>
    <row r="79" spans="1:10" x14ac:dyDescent="0.25">
      <c r="A79" s="32"/>
      <c r="B79" s="6" t="s">
        <v>234</v>
      </c>
      <c r="C79" s="6" t="s">
        <v>267</v>
      </c>
      <c r="D79" s="32" t="s">
        <v>268</v>
      </c>
      <c r="E79" s="33">
        <v>0</v>
      </c>
      <c r="F79" s="33">
        <v>8000</v>
      </c>
      <c r="G79" s="33">
        <v>0</v>
      </c>
      <c r="H79" s="33">
        <v>0</v>
      </c>
      <c r="I79" s="33">
        <f t="shared" si="22"/>
        <v>2000</v>
      </c>
      <c r="J79" s="33">
        <v>4000</v>
      </c>
    </row>
    <row r="80" spans="1:10" x14ac:dyDescent="0.25">
      <c r="A80" s="20" t="s">
        <v>269</v>
      </c>
      <c r="B80" s="21"/>
      <c r="C80" s="21"/>
      <c r="D80" s="20" t="s">
        <v>270</v>
      </c>
      <c r="E80" s="71">
        <v>0</v>
      </c>
      <c r="F80" s="71">
        <v>0</v>
      </c>
      <c r="G80" s="71">
        <v>0</v>
      </c>
      <c r="H80" s="71">
        <v>0</v>
      </c>
      <c r="I80" s="71">
        <v>0</v>
      </c>
      <c r="J80" s="71">
        <v>0</v>
      </c>
    </row>
    <row r="81" spans="1:12" x14ac:dyDescent="0.25">
      <c r="A81" s="20" t="s">
        <v>271</v>
      </c>
      <c r="B81" s="21"/>
      <c r="C81" s="21"/>
      <c r="D81" s="20" t="s">
        <v>272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71">
        <v>0</v>
      </c>
    </row>
    <row r="82" spans="1:12" x14ac:dyDescent="0.25">
      <c r="A82" s="20" t="s">
        <v>273</v>
      </c>
      <c r="B82" s="21"/>
      <c r="C82" s="21"/>
      <c r="D82" s="20" t="s">
        <v>274</v>
      </c>
      <c r="E82" s="71">
        <v>0</v>
      </c>
      <c r="F82" s="71">
        <v>0</v>
      </c>
      <c r="G82" s="71">
        <v>0</v>
      </c>
      <c r="H82" s="71">
        <v>0</v>
      </c>
      <c r="I82" s="71">
        <v>0</v>
      </c>
      <c r="J82" s="71">
        <v>0</v>
      </c>
    </row>
    <row r="83" spans="1:12" x14ac:dyDescent="0.25">
      <c r="A83" s="20" t="s">
        <v>275</v>
      </c>
      <c r="B83" s="21"/>
      <c r="C83" s="21"/>
      <c r="D83" s="20" t="s">
        <v>276</v>
      </c>
      <c r="E83" s="71">
        <f t="shared" ref="E83:J83" si="23">E84+E94</f>
        <v>241401.18999999994</v>
      </c>
      <c r="F83" s="71">
        <f t="shared" si="23"/>
        <v>0</v>
      </c>
      <c r="G83" s="71">
        <f t="shared" si="23"/>
        <v>64903.88</v>
      </c>
      <c r="H83" s="71">
        <f t="shared" si="23"/>
        <v>10650.8</v>
      </c>
      <c r="I83" s="71">
        <f t="shared" si="23"/>
        <v>125919.25499999998</v>
      </c>
      <c r="J83" s="71">
        <f t="shared" si="23"/>
        <v>251838.50999999995</v>
      </c>
    </row>
    <row r="84" spans="1:12" x14ac:dyDescent="0.25">
      <c r="A84" s="23" t="s">
        <v>277</v>
      </c>
      <c r="B84" s="24"/>
      <c r="C84" s="24"/>
      <c r="D84" s="23" t="s">
        <v>278</v>
      </c>
      <c r="E84" s="61">
        <f t="shared" ref="E84:J84" si="24">SUM(E85:E93)</f>
        <v>241401.18999999994</v>
      </c>
      <c r="F84" s="61">
        <f t="shared" si="24"/>
        <v>0</v>
      </c>
      <c r="G84" s="61">
        <f t="shared" si="24"/>
        <v>55829.729999999996</v>
      </c>
      <c r="H84" s="61">
        <f t="shared" si="24"/>
        <v>8098.0700000000006</v>
      </c>
      <c r="I84" s="61">
        <f t="shared" si="24"/>
        <v>120700.59499999997</v>
      </c>
      <c r="J84" s="61">
        <f t="shared" si="24"/>
        <v>241401.18999999994</v>
      </c>
    </row>
    <row r="85" spans="1:12" x14ac:dyDescent="0.25">
      <c r="A85" s="32" t="s">
        <v>279</v>
      </c>
      <c r="B85" s="6" t="s">
        <v>280</v>
      </c>
      <c r="C85" s="6" t="s">
        <v>281</v>
      </c>
      <c r="D85" s="32" t="s">
        <v>282</v>
      </c>
      <c r="E85" s="33">
        <v>46204.94</v>
      </c>
      <c r="F85" s="33">
        <v>0</v>
      </c>
      <c r="G85" s="33">
        <v>13283.38</v>
      </c>
      <c r="H85" s="33">
        <v>1022.12</v>
      </c>
      <c r="I85" s="33">
        <f t="shared" ref="I85:I92" si="25">J85*0.5</f>
        <v>23102.47</v>
      </c>
      <c r="J85" s="33">
        <v>46204.94</v>
      </c>
    </row>
    <row r="86" spans="1:12" x14ac:dyDescent="0.25">
      <c r="A86" s="37" t="s">
        <v>283</v>
      </c>
      <c r="B86" s="6" t="s">
        <v>280</v>
      </c>
      <c r="C86" s="6" t="s">
        <v>284</v>
      </c>
      <c r="D86" s="37" t="s">
        <v>285</v>
      </c>
      <c r="E86" s="33">
        <v>50711.69</v>
      </c>
      <c r="F86" s="33">
        <v>0</v>
      </c>
      <c r="G86" s="33">
        <v>11636.8</v>
      </c>
      <c r="H86" s="33">
        <v>1016.84</v>
      </c>
      <c r="I86" s="33">
        <f t="shared" si="25"/>
        <v>25355.845000000001</v>
      </c>
      <c r="J86" s="33">
        <v>50711.69</v>
      </c>
    </row>
    <row r="87" spans="1:12" x14ac:dyDescent="0.25">
      <c r="A87" s="32" t="s">
        <v>286</v>
      </c>
      <c r="B87" s="6" t="s">
        <v>280</v>
      </c>
      <c r="C87" s="6" t="s">
        <v>287</v>
      </c>
      <c r="D87" s="32" t="s">
        <v>288</v>
      </c>
      <c r="E87" s="33">
        <v>50006.74</v>
      </c>
      <c r="F87" s="33">
        <v>0</v>
      </c>
      <c r="G87" s="33">
        <v>14529.76</v>
      </c>
      <c r="H87" s="33">
        <v>1105.1099999999999</v>
      </c>
      <c r="I87" s="33">
        <f t="shared" si="25"/>
        <v>25003.37</v>
      </c>
      <c r="J87" s="33">
        <v>50006.74</v>
      </c>
    </row>
    <row r="88" spans="1:12" x14ac:dyDescent="0.25">
      <c r="A88" s="37" t="s">
        <v>289</v>
      </c>
      <c r="B88" s="6" t="s">
        <v>280</v>
      </c>
      <c r="C88" s="6" t="s">
        <v>290</v>
      </c>
      <c r="D88" s="37" t="s">
        <v>291</v>
      </c>
      <c r="E88" s="52">
        <v>46527.67</v>
      </c>
      <c r="F88" s="52">
        <v>0</v>
      </c>
      <c r="G88" s="52">
        <v>10177.280000000001</v>
      </c>
      <c r="H88" s="52">
        <v>3123.69</v>
      </c>
      <c r="I88" s="33">
        <f t="shared" si="25"/>
        <v>23263.834999999999</v>
      </c>
      <c r="J88" s="52">
        <v>46527.67</v>
      </c>
    </row>
    <row r="89" spans="1:12" x14ac:dyDescent="0.25">
      <c r="A89" s="32" t="s">
        <v>292</v>
      </c>
      <c r="B89" s="6" t="s">
        <v>280</v>
      </c>
      <c r="C89" s="6" t="s">
        <v>293</v>
      </c>
      <c r="D89" s="32" t="s">
        <v>294</v>
      </c>
      <c r="E89" s="33">
        <v>23358.09</v>
      </c>
      <c r="F89" s="33">
        <v>0</v>
      </c>
      <c r="G89" s="33">
        <v>4804.7299999999996</v>
      </c>
      <c r="H89" s="33">
        <v>432.53</v>
      </c>
      <c r="I89" s="33">
        <f t="shared" si="25"/>
        <v>11679.045</v>
      </c>
      <c r="J89" s="33">
        <v>23358.09</v>
      </c>
    </row>
    <row r="90" spans="1:12" x14ac:dyDescent="0.25">
      <c r="A90" s="37" t="s">
        <v>295</v>
      </c>
      <c r="B90" s="6" t="s">
        <v>280</v>
      </c>
      <c r="C90" s="6" t="s">
        <v>296</v>
      </c>
      <c r="D90" s="37" t="s">
        <v>297</v>
      </c>
      <c r="E90" s="33">
        <v>9648.09</v>
      </c>
      <c r="F90" s="33">
        <v>0</v>
      </c>
      <c r="G90" s="33">
        <v>530.09</v>
      </c>
      <c r="H90" s="33">
        <v>530.09</v>
      </c>
      <c r="I90" s="33">
        <f t="shared" si="25"/>
        <v>4824.0450000000001</v>
      </c>
      <c r="J90" s="33">
        <v>9648.09</v>
      </c>
    </row>
    <row r="91" spans="1:12" x14ac:dyDescent="0.25">
      <c r="A91" s="32" t="s">
        <v>298</v>
      </c>
      <c r="B91" s="6" t="s">
        <v>280</v>
      </c>
      <c r="C91" s="6" t="s">
        <v>299</v>
      </c>
      <c r="D91" s="32" t="s">
        <v>300</v>
      </c>
      <c r="E91" s="33">
        <v>11669.11</v>
      </c>
      <c r="F91" s="33">
        <v>0</v>
      </c>
      <c r="G91" s="33">
        <v>630.17999999999995</v>
      </c>
      <c r="H91" s="33">
        <v>630.17999999999995</v>
      </c>
      <c r="I91" s="33">
        <f t="shared" si="25"/>
        <v>5834.5550000000003</v>
      </c>
      <c r="J91" s="33">
        <v>11669.11</v>
      </c>
    </row>
    <row r="92" spans="1:12" x14ac:dyDescent="0.25">
      <c r="A92" s="37" t="s">
        <v>301</v>
      </c>
      <c r="B92" s="6" t="s">
        <v>280</v>
      </c>
      <c r="C92" s="6" t="s">
        <v>302</v>
      </c>
      <c r="D92" s="37" t="s">
        <v>303</v>
      </c>
      <c r="E92" s="33">
        <v>3274.86</v>
      </c>
      <c r="F92" s="33">
        <v>0</v>
      </c>
      <c r="G92" s="33">
        <v>237.51</v>
      </c>
      <c r="H92" s="33">
        <v>237.51</v>
      </c>
      <c r="I92" s="33">
        <f t="shared" si="25"/>
        <v>1637.43</v>
      </c>
      <c r="J92" s="33">
        <v>3274.86</v>
      </c>
    </row>
    <row r="93" spans="1:12" x14ac:dyDescent="0.25">
      <c r="A93" s="32" t="s">
        <v>304</v>
      </c>
      <c r="B93" s="6" t="s">
        <v>280</v>
      </c>
      <c r="C93" s="6" t="s">
        <v>305</v>
      </c>
      <c r="D93" s="32" t="s">
        <v>306</v>
      </c>
      <c r="E93" s="33">
        <v>0</v>
      </c>
      <c r="F93" s="33">
        <v>0</v>
      </c>
      <c r="G93" s="33">
        <v>0</v>
      </c>
      <c r="H93" s="33">
        <v>0</v>
      </c>
      <c r="I93" s="33">
        <f>J93*1.05</f>
        <v>0</v>
      </c>
      <c r="J93" s="33">
        <v>0</v>
      </c>
    </row>
    <row r="94" spans="1:12" x14ac:dyDescent="0.25">
      <c r="A94" s="23" t="s">
        <v>307</v>
      </c>
      <c r="B94" s="24"/>
      <c r="C94" s="24"/>
      <c r="D94" s="23" t="s">
        <v>308</v>
      </c>
      <c r="E94" s="61">
        <f t="shared" ref="E94:J94" si="26">SUM(E95:E97)</f>
        <v>0</v>
      </c>
      <c r="F94" s="61">
        <f t="shared" si="26"/>
        <v>0</v>
      </c>
      <c r="G94" s="61">
        <f t="shared" si="26"/>
        <v>9074.15</v>
      </c>
      <c r="H94" s="61">
        <f t="shared" si="26"/>
        <v>2552.7299999999996</v>
      </c>
      <c r="I94" s="61">
        <f t="shared" si="26"/>
        <v>5218.66</v>
      </c>
      <c r="J94" s="61">
        <f t="shared" si="26"/>
        <v>10437.32</v>
      </c>
    </row>
    <row r="95" spans="1:12" x14ac:dyDescent="0.25">
      <c r="A95" s="32" t="s">
        <v>309</v>
      </c>
      <c r="B95" s="6" t="s">
        <v>155</v>
      </c>
      <c r="C95" s="6" t="s">
        <v>310</v>
      </c>
      <c r="D95" s="32" t="s">
        <v>311</v>
      </c>
      <c r="E95" s="33">
        <v>0</v>
      </c>
      <c r="F95" s="33">
        <v>0</v>
      </c>
      <c r="G95" s="33">
        <v>9074.15</v>
      </c>
      <c r="H95" s="33">
        <v>1189.56</v>
      </c>
      <c r="I95" s="46">
        <f>J95*0.5</f>
        <v>4537.0749999999998</v>
      </c>
      <c r="J95" s="46">
        <f>G95+K95</f>
        <v>9074.15</v>
      </c>
      <c r="L95" t="s">
        <v>312</v>
      </c>
    </row>
    <row r="96" spans="1:12" x14ac:dyDescent="0.25">
      <c r="A96" s="37" t="s">
        <v>313</v>
      </c>
      <c r="B96" s="6" t="s">
        <v>155</v>
      </c>
      <c r="C96" s="6" t="s">
        <v>314</v>
      </c>
      <c r="D96" s="37" t="s">
        <v>315</v>
      </c>
      <c r="E96" s="59">
        <v>0</v>
      </c>
      <c r="F96" s="59">
        <v>0</v>
      </c>
      <c r="G96" s="59">
        <v>0</v>
      </c>
      <c r="H96" s="59">
        <v>0.11</v>
      </c>
      <c r="I96" s="59">
        <f>J96*0.5</f>
        <v>5.5E-2</v>
      </c>
      <c r="J96" s="59">
        <f>H96</f>
        <v>0.11</v>
      </c>
    </row>
    <row r="97" spans="1:13" x14ac:dyDescent="0.25">
      <c r="A97" s="32" t="s">
        <v>316</v>
      </c>
      <c r="B97" s="6" t="s">
        <v>155</v>
      </c>
      <c r="C97" s="6" t="s">
        <v>317</v>
      </c>
      <c r="D97" s="32" t="s">
        <v>318</v>
      </c>
      <c r="E97" s="33">
        <v>0</v>
      </c>
      <c r="F97" s="33">
        <v>0</v>
      </c>
      <c r="G97" s="33">
        <v>0</v>
      </c>
      <c r="H97" s="33">
        <v>1363.06</v>
      </c>
      <c r="I97" s="33">
        <f>J97*0.5</f>
        <v>681.53</v>
      </c>
      <c r="J97" s="33">
        <f>H97</f>
        <v>1363.06</v>
      </c>
    </row>
    <row r="98" spans="1:13" x14ac:dyDescent="0.25">
      <c r="A98" s="17" t="s">
        <v>319</v>
      </c>
      <c r="B98" s="18"/>
      <c r="C98" s="18"/>
      <c r="D98" s="17" t="s">
        <v>320</v>
      </c>
      <c r="E98" s="72">
        <f t="shared" ref="E98:J98" si="27">E99+E176+E195+E196+E199+E204+E205+E206+E207</f>
        <v>-3177461.5999999996</v>
      </c>
      <c r="F98" s="72">
        <f t="shared" si="27"/>
        <v>-2130870.2799999998</v>
      </c>
      <c r="G98" s="72">
        <f t="shared" si="27"/>
        <v>-703103.82000000007</v>
      </c>
      <c r="H98" s="72">
        <f t="shared" si="27"/>
        <v>-449794.95</v>
      </c>
      <c r="I98" s="72">
        <f t="shared" si="27"/>
        <v>-1506157.0699999998</v>
      </c>
      <c r="J98" s="72">
        <f t="shared" si="27"/>
        <v>-3080912.1599999997</v>
      </c>
    </row>
    <row r="99" spans="1:13" x14ac:dyDescent="0.25">
      <c r="A99" s="20" t="s">
        <v>321</v>
      </c>
      <c r="B99" s="21"/>
      <c r="C99" s="21"/>
      <c r="D99" s="20" t="s">
        <v>322</v>
      </c>
      <c r="E99" s="71">
        <f t="shared" ref="E99:J99" si="28">E100+E159+E162+E166+E169+E171+E173</f>
        <v>-2053681.2599999998</v>
      </c>
      <c r="F99" s="71">
        <f t="shared" si="28"/>
        <v>-1740912.2199999997</v>
      </c>
      <c r="G99" s="71">
        <f t="shared" si="28"/>
        <v>-364464.01</v>
      </c>
      <c r="H99" s="71">
        <f t="shared" si="28"/>
        <v>-269984.90000000002</v>
      </c>
      <c r="I99" s="71">
        <f t="shared" si="28"/>
        <v>-973248.21499999997</v>
      </c>
      <c r="J99" s="71">
        <f t="shared" si="28"/>
        <v>-2015094.47</v>
      </c>
    </row>
    <row r="100" spans="1:13" x14ac:dyDescent="0.25">
      <c r="A100" s="67" t="s">
        <v>323</v>
      </c>
      <c r="B100" s="68"/>
      <c r="C100" s="68"/>
      <c r="D100" s="67" t="s">
        <v>324</v>
      </c>
      <c r="E100" s="73">
        <f t="shared" ref="E100:J100" si="29">E101+E133+E143+E147+E151+E157</f>
        <v>-1821866.3599999999</v>
      </c>
      <c r="F100" s="73">
        <f t="shared" si="29"/>
        <v>-1674996.04</v>
      </c>
      <c r="G100" s="73">
        <f t="shared" si="29"/>
        <v>-337766.86</v>
      </c>
      <c r="H100" s="73">
        <f t="shared" si="29"/>
        <v>-251616.5</v>
      </c>
      <c r="I100" s="73">
        <f t="shared" si="29"/>
        <v>-928398.37</v>
      </c>
      <c r="J100" s="73">
        <f t="shared" si="29"/>
        <v>-1925796.74</v>
      </c>
    </row>
    <row r="101" spans="1:13" x14ac:dyDescent="0.25">
      <c r="A101" s="26" t="s">
        <v>325</v>
      </c>
      <c r="B101" s="27"/>
      <c r="C101" s="27"/>
      <c r="D101" s="26" t="s">
        <v>326</v>
      </c>
      <c r="E101" s="38">
        <f t="shared" ref="E101:J101" si="30">E102+E109+E114+E118+E126+E128</f>
        <v>-404234.5</v>
      </c>
      <c r="F101" s="38">
        <f t="shared" si="30"/>
        <v>-335068.13</v>
      </c>
      <c r="G101" s="38">
        <f t="shared" si="30"/>
        <v>-99341.39</v>
      </c>
      <c r="H101" s="38">
        <f t="shared" si="30"/>
        <v>-53238.880000000005</v>
      </c>
      <c r="I101" s="38">
        <f t="shared" si="30"/>
        <v>-196662.04499999998</v>
      </c>
      <c r="J101" s="38">
        <f t="shared" si="30"/>
        <v>-404324.08999999997</v>
      </c>
      <c r="K101" t="s">
        <v>327</v>
      </c>
      <c r="L101" t="s">
        <v>328</v>
      </c>
      <c r="M101" t="s">
        <v>329</v>
      </c>
    </row>
    <row r="102" spans="1:13" x14ac:dyDescent="0.25">
      <c r="A102" s="39" t="s">
        <v>330</v>
      </c>
      <c r="B102" s="40"/>
      <c r="C102" s="40"/>
      <c r="D102" s="39" t="s">
        <v>331</v>
      </c>
      <c r="E102" s="41">
        <f t="shared" ref="E102:J102" si="31">SUM(E103:E108)</f>
        <v>-111000</v>
      </c>
      <c r="F102" s="41">
        <f t="shared" si="31"/>
        <v>-87182.33</v>
      </c>
      <c r="G102" s="41">
        <f t="shared" si="31"/>
        <v>-17166.02</v>
      </c>
      <c r="H102" s="41">
        <f t="shared" si="31"/>
        <v>-16171.27</v>
      </c>
      <c r="I102" s="41">
        <f t="shared" si="31"/>
        <v>-53166.929999999993</v>
      </c>
      <c r="J102" s="41">
        <f t="shared" si="31"/>
        <v>-106333.85999999999</v>
      </c>
      <c r="K102" s="70">
        <f>E102-J102</f>
        <v>-4666.140000000014</v>
      </c>
      <c r="L102" s="755">
        <f>K102+K109+K114+K118+K126+K128+K131</f>
        <v>-42.410000000014406</v>
      </c>
      <c r="M102" s="70">
        <f>E102-J103-J104-J105-J106-J107</f>
        <v>-20666.140000000007</v>
      </c>
    </row>
    <row r="103" spans="1:13" x14ac:dyDescent="0.25">
      <c r="A103" s="32" t="s">
        <v>332</v>
      </c>
      <c r="B103" s="6" t="s">
        <v>27</v>
      </c>
      <c r="C103" s="6" t="s">
        <v>333</v>
      </c>
      <c r="D103" s="32" t="s">
        <v>334</v>
      </c>
      <c r="E103" s="33">
        <v>-40000</v>
      </c>
      <c r="F103" s="33">
        <v>-39613.699999999997</v>
      </c>
      <c r="G103" s="33">
        <v>0</v>
      </c>
      <c r="H103" s="33">
        <v>0</v>
      </c>
      <c r="I103" s="33">
        <f t="shared" ref="I103:I108" si="32">J103*0.5</f>
        <v>-21162.42</v>
      </c>
      <c r="J103" s="33">
        <f>-32376.98-(42324.84-32376.98)</f>
        <v>-42324.84</v>
      </c>
      <c r="K103" s="74"/>
      <c r="L103" s="755"/>
    </row>
    <row r="104" spans="1:13" x14ac:dyDescent="0.25">
      <c r="A104" s="37" t="s">
        <v>335</v>
      </c>
      <c r="B104" s="6" t="s">
        <v>27</v>
      </c>
      <c r="C104" s="6" t="s">
        <v>336</v>
      </c>
      <c r="D104" s="37" t="s">
        <v>337</v>
      </c>
      <c r="E104" s="33">
        <v>-28000</v>
      </c>
      <c r="F104" s="33">
        <v>-20666.13</v>
      </c>
      <c r="G104" s="33">
        <v>-13320.34</v>
      </c>
      <c r="H104" s="33">
        <v>-13320.34</v>
      </c>
      <c r="I104" s="33">
        <f t="shared" si="32"/>
        <v>-11680.17</v>
      </c>
      <c r="J104" s="33">
        <v>-23360.34</v>
      </c>
      <c r="L104" s="755"/>
    </row>
    <row r="105" spans="1:13" x14ac:dyDescent="0.25">
      <c r="A105" s="32" t="s">
        <v>338</v>
      </c>
      <c r="B105" s="6" t="s">
        <v>27</v>
      </c>
      <c r="C105" s="6" t="s">
        <v>339</v>
      </c>
      <c r="D105" s="32" t="s">
        <v>340</v>
      </c>
      <c r="E105" s="33">
        <v>-6000</v>
      </c>
      <c r="F105" s="33">
        <v>0</v>
      </c>
      <c r="G105" s="33">
        <v>-678</v>
      </c>
      <c r="H105" s="33">
        <v>-678</v>
      </c>
      <c r="I105" s="33">
        <f t="shared" si="32"/>
        <v>-2165.5</v>
      </c>
      <c r="J105" s="33">
        <f>-4500+169</f>
        <v>-4331</v>
      </c>
      <c r="L105" s="755"/>
    </row>
    <row r="106" spans="1:13" x14ac:dyDescent="0.25">
      <c r="A106" s="37" t="s">
        <v>341</v>
      </c>
      <c r="B106" s="6" t="s">
        <v>27</v>
      </c>
      <c r="C106" s="6" t="s">
        <v>342</v>
      </c>
      <c r="D106" s="37" t="s">
        <v>343</v>
      </c>
      <c r="E106" s="33">
        <v>-8000</v>
      </c>
      <c r="F106" s="33">
        <v>-6383.02</v>
      </c>
      <c r="G106" s="33">
        <v>-3167.68</v>
      </c>
      <c r="H106" s="33">
        <v>-2172.9299999999998</v>
      </c>
      <c r="I106" s="33">
        <f t="shared" si="32"/>
        <v>-3008.84</v>
      </c>
      <c r="J106" s="33">
        <v>-6017.68</v>
      </c>
      <c r="L106" s="755"/>
    </row>
    <row r="107" spans="1:13" x14ac:dyDescent="0.25">
      <c r="A107" s="32" t="s">
        <v>344</v>
      </c>
      <c r="B107" s="6" t="s">
        <v>27</v>
      </c>
      <c r="C107" s="6" t="s">
        <v>345</v>
      </c>
      <c r="D107" s="32" t="s">
        <v>346</v>
      </c>
      <c r="E107" s="33">
        <v>-14000</v>
      </c>
      <c r="F107" s="33">
        <v>-11519.48</v>
      </c>
      <c r="G107" s="33">
        <v>0</v>
      </c>
      <c r="H107" s="33">
        <v>0</v>
      </c>
      <c r="I107" s="33">
        <f t="shared" si="32"/>
        <v>-7150</v>
      </c>
      <c r="J107" s="33">
        <v>-14300</v>
      </c>
      <c r="L107" s="755"/>
    </row>
    <row r="108" spans="1:13" x14ac:dyDescent="0.25">
      <c r="A108" s="37" t="s">
        <v>347</v>
      </c>
      <c r="B108" s="6" t="s">
        <v>27</v>
      </c>
      <c r="C108" s="6" t="s">
        <v>348</v>
      </c>
      <c r="D108" s="37" t="s">
        <v>349</v>
      </c>
      <c r="E108" s="75">
        <v>-15000</v>
      </c>
      <c r="F108" s="75">
        <v>-9000</v>
      </c>
      <c r="G108" s="33">
        <v>0</v>
      </c>
      <c r="H108" s="33">
        <v>0</v>
      </c>
      <c r="I108" s="76">
        <f t="shared" si="32"/>
        <v>-8000</v>
      </c>
      <c r="J108" s="76">
        <f>-9000-7000</f>
        <v>-16000</v>
      </c>
      <c r="L108" s="755"/>
    </row>
    <row r="109" spans="1:13" x14ac:dyDescent="0.25">
      <c r="A109" s="39" t="s">
        <v>350</v>
      </c>
      <c r="B109" s="40"/>
      <c r="C109" s="40"/>
      <c r="D109" s="39" t="s">
        <v>351</v>
      </c>
      <c r="E109" s="77">
        <f t="shared" ref="E109:J109" si="33">SUM(E110:E113)</f>
        <v>-40000</v>
      </c>
      <c r="F109" s="77">
        <f t="shared" si="33"/>
        <v>-29430.080000000002</v>
      </c>
      <c r="G109" s="77">
        <f t="shared" si="33"/>
        <v>-7590.13</v>
      </c>
      <c r="H109" s="77">
        <f t="shared" si="33"/>
        <v>-7590.13</v>
      </c>
      <c r="I109" s="77">
        <f t="shared" si="33"/>
        <v>-15668.865</v>
      </c>
      <c r="J109" s="77">
        <f t="shared" si="33"/>
        <v>-31337.73</v>
      </c>
      <c r="K109" s="70">
        <f>E109-J109</f>
        <v>-8662.27</v>
      </c>
      <c r="L109" s="755"/>
      <c r="M109" s="70">
        <f>E109-J110-J111-J112</f>
        <v>-22351.27</v>
      </c>
    </row>
    <row r="110" spans="1:13" x14ac:dyDescent="0.25">
      <c r="A110" s="37" t="s">
        <v>352</v>
      </c>
      <c r="B110" s="6" t="s">
        <v>27</v>
      </c>
      <c r="C110" s="6" t="s">
        <v>353</v>
      </c>
      <c r="D110" s="37" t="s">
        <v>354</v>
      </c>
      <c r="E110" s="33">
        <v>-15250</v>
      </c>
      <c r="F110" s="33">
        <v>-29430.080000000002</v>
      </c>
      <c r="G110" s="33">
        <v>-6970.13</v>
      </c>
      <c r="H110" s="33">
        <v>-6970.13</v>
      </c>
      <c r="I110" s="33">
        <f>J110*0.5</f>
        <v>-7126.8649999999998</v>
      </c>
      <c r="J110" s="33">
        <f>G110-7283.6</f>
        <v>-14253.73</v>
      </c>
      <c r="L110" s="755"/>
    </row>
    <row r="111" spans="1:13" x14ac:dyDescent="0.25">
      <c r="A111" s="32" t="s">
        <v>355</v>
      </c>
      <c r="B111" s="6" t="s">
        <v>27</v>
      </c>
      <c r="C111" s="6" t="s">
        <v>356</v>
      </c>
      <c r="D111" s="32" t="s">
        <v>357</v>
      </c>
      <c r="E111" s="33">
        <v>-4000</v>
      </c>
      <c r="F111" s="33">
        <v>0</v>
      </c>
      <c r="G111" s="33">
        <v>-620</v>
      </c>
      <c r="H111" s="33">
        <v>-620</v>
      </c>
      <c r="I111" s="33">
        <f>J111*0.5</f>
        <v>-1697.5</v>
      </c>
      <c r="J111" s="33">
        <f>H111-2775</f>
        <v>-3395</v>
      </c>
      <c r="L111" s="755"/>
    </row>
    <row r="112" spans="1:13" x14ac:dyDescent="0.25">
      <c r="A112" s="37" t="s">
        <v>358</v>
      </c>
      <c r="B112" s="6" t="s">
        <v>27</v>
      </c>
      <c r="C112" s="6" t="s">
        <v>359</v>
      </c>
      <c r="D112" s="37" t="s">
        <v>360</v>
      </c>
      <c r="E112" s="33">
        <v>-1500</v>
      </c>
      <c r="F112" s="33">
        <v>0</v>
      </c>
      <c r="G112" s="33">
        <v>0</v>
      </c>
      <c r="H112" s="33">
        <v>0</v>
      </c>
      <c r="I112" s="33">
        <f>J112*0.5</f>
        <v>0</v>
      </c>
      <c r="J112" s="33">
        <v>0</v>
      </c>
      <c r="L112" s="755"/>
    </row>
    <row r="113" spans="1:13" x14ac:dyDescent="0.25">
      <c r="A113" s="32" t="s">
        <v>361</v>
      </c>
      <c r="B113" s="6" t="s">
        <v>27</v>
      </c>
      <c r="C113" s="6" t="s">
        <v>362</v>
      </c>
      <c r="D113" s="32" t="s">
        <v>363</v>
      </c>
      <c r="E113" s="78">
        <v>-19250</v>
      </c>
      <c r="F113" s="78">
        <v>0</v>
      </c>
      <c r="G113" s="78">
        <v>0</v>
      </c>
      <c r="H113" s="78">
        <v>0</v>
      </c>
      <c r="I113" s="78">
        <f>J113*0.5</f>
        <v>-6844.5</v>
      </c>
      <c r="J113" s="78">
        <f>-3344.2-10344.8</f>
        <v>-13689</v>
      </c>
      <c r="L113" s="755"/>
    </row>
    <row r="114" spans="1:13" x14ac:dyDescent="0.25">
      <c r="A114" s="39" t="s">
        <v>364</v>
      </c>
      <c r="B114" s="40"/>
      <c r="C114" s="40"/>
      <c r="D114" s="39" t="s">
        <v>365</v>
      </c>
      <c r="E114" s="77">
        <f t="shared" ref="E114:J114" si="34">SUM(E115:E117)</f>
        <v>-55000</v>
      </c>
      <c r="F114" s="77">
        <f t="shared" si="34"/>
        <v>-50551.44</v>
      </c>
      <c r="G114" s="77">
        <f t="shared" si="34"/>
        <v>-9919.16</v>
      </c>
      <c r="H114" s="77">
        <f t="shared" si="34"/>
        <v>0</v>
      </c>
      <c r="I114" s="77">
        <f t="shared" si="34"/>
        <v>-20775</v>
      </c>
      <c r="J114" s="77">
        <f t="shared" si="34"/>
        <v>-41550</v>
      </c>
      <c r="K114" s="70">
        <f>E114-J114</f>
        <v>-13450</v>
      </c>
      <c r="L114" s="755"/>
      <c r="M114" s="70">
        <f>E114-J115-J116</f>
        <v>-18450</v>
      </c>
    </row>
    <row r="115" spans="1:13" x14ac:dyDescent="0.25">
      <c r="A115" s="32" t="s">
        <v>366</v>
      </c>
      <c r="B115" s="6" t="s">
        <v>27</v>
      </c>
      <c r="C115" s="6" t="s">
        <v>367</v>
      </c>
      <c r="D115" s="32" t="s">
        <v>368</v>
      </c>
      <c r="E115" s="33">
        <v>-25000</v>
      </c>
      <c r="F115" s="33">
        <v>-21873.77</v>
      </c>
      <c r="G115" s="33">
        <v>-9919.16</v>
      </c>
      <c r="H115" s="33">
        <v>0</v>
      </c>
      <c r="I115" s="33">
        <f>J115*0.5</f>
        <v>-10025</v>
      </c>
      <c r="J115" s="33">
        <v>-20050</v>
      </c>
      <c r="L115" s="755"/>
      <c r="M115" s="70"/>
    </row>
    <row r="116" spans="1:13" x14ac:dyDescent="0.25">
      <c r="A116" s="37" t="s">
        <v>369</v>
      </c>
      <c r="B116" s="6" t="s">
        <v>27</v>
      </c>
      <c r="C116" s="6" t="s">
        <v>370</v>
      </c>
      <c r="D116" s="37" t="s">
        <v>371</v>
      </c>
      <c r="E116" s="33">
        <v>-25000</v>
      </c>
      <c r="F116" s="33">
        <v>-23677.67</v>
      </c>
      <c r="G116" s="33">
        <v>0</v>
      </c>
      <c r="H116" s="33">
        <v>0</v>
      </c>
      <c r="I116" s="33">
        <f>J116*0.5</f>
        <v>-8250</v>
      </c>
      <c r="J116" s="33">
        <v>-16500</v>
      </c>
      <c r="L116" s="755"/>
    </row>
    <row r="117" spans="1:13" x14ac:dyDescent="0.25">
      <c r="A117" s="32" t="s">
        <v>372</v>
      </c>
      <c r="B117" s="6" t="s">
        <v>27</v>
      </c>
      <c r="C117" s="6" t="s">
        <v>373</v>
      </c>
      <c r="D117" s="32" t="s">
        <v>374</v>
      </c>
      <c r="E117" s="78">
        <v>-5000</v>
      </c>
      <c r="F117" s="78">
        <v>-5000</v>
      </c>
      <c r="G117" s="78">
        <v>0</v>
      </c>
      <c r="H117" s="78">
        <v>0</v>
      </c>
      <c r="I117" s="75">
        <f>J117*0.5</f>
        <v>-2500</v>
      </c>
      <c r="J117" s="75">
        <f>-5000</f>
        <v>-5000</v>
      </c>
      <c r="L117" s="755"/>
    </row>
    <row r="118" spans="1:13" x14ac:dyDescent="0.25">
      <c r="A118" s="39" t="s">
        <v>375</v>
      </c>
      <c r="B118" s="40"/>
      <c r="C118" s="40"/>
      <c r="D118" s="39" t="s">
        <v>376</v>
      </c>
      <c r="E118" s="77">
        <f t="shared" ref="E118:J118" si="35">SUM(E119:E125)</f>
        <v>-160734.5</v>
      </c>
      <c r="F118" s="77">
        <f t="shared" si="35"/>
        <v>-147233.26</v>
      </c>
      <c r="G118" s="77">
        <f t="shared" si="35"/>
        <v>-63971.6</v>
      </c>
      <c r="H118" s="77">
        <f t="shared" si="35"/>
        <v>-28783</v>
      </c>
      <c r="I118" s="77">
        <f t="shared" si="35"/>
        <v>-80367.25</v>
      </c>
      <c r="J118" s="77">
        <f t="shared" si="35"/>
        <v>-160734.5</v>
      </c>
      <c r="K118" s="70">
        <f>E118-J118</f>
        <v>0</v>
      </c>
      <c r="L118" s="755"/>
      <c r="M118" s="70">
        <f>E118-J119-J120-J121-J122-J123-J124</f>
        <v>-12311</v>
      </c>
    </row>
    <row r="119" spans="1:13" x14ac:dyDescent="0.25">
      <c r="A119" s="32" t="s">
        <v>377</v>
      </c>
      <c r="B119" s="6" t="s">
        <v>27</v>
      </c>
      <c r="C119" s="6" t="s">
        <v>378</v>
      </c>
      <c r="D119" s="32" t="s">
        <v>379</v>
      </c>
      <c r="E119" s="33">
        <v>-43500</v>
      </c>
      <c r="F119" s="33">
        <v>-43308.94</v>
      </c>
      <c r="G119" s="33">
        <v>-16195.76</v>
      </c>
      <c r="H119" s="33">
        <v>0</v>
      </c>
      <c r="I119" s="33">
        <f t="shared" ref="I119:I125" si="36">J119*0.5</f>
        <v>-21100</v>
      </c>
      <c r="J119" s="33">
        <f>-42200</f>
        <v>-42200</v>
      </c>
      <c r="L119" s="755"/>
    </row>
    <row r="120" spans="1:13" x14ac:dyDescent="0.25">
      <c r="A120" s="37" t="s">
        <v>380</v>
      </c>
      <c r="B120" s="6" t="s">
        <v>27</v>
      </c>
      <c r="C120" s="6" t="s">
        <v>381</v>
      </c>
      <c r="D120" s="37" t="s">
        <v>382</v>
      </c>
      <c r="E120" s="33">
        <v>-39600</v>
      </c>
      <c r="F120" s="33">
        <v>-39506.92</v>
      </c>
      <c r="G120" s="33">
        <v>-12097.44</v>
      </c>
      <c r="H120" s="33">
        <v>0</v>
      </c>
      <c r="I120" s="33">
        <f t="shared" si="36"/>
        <v>-18350</v>
      </c>
      <c r="J120" s="33">
        <f>-36700</f>
        <v>-36700</v>
      </c>
      <c r="L120" s="755"/>
    </row>
    <row r="121" spans="1:13" x14ac:dyDescent="0.25">
      <c r="A121" s="32" t="s">
        <v>383</v>
      </c>
      <c r="B121" s="6" t="s">
        <v>27</v>
      </c>
      <c r="C121" s="6" t="s">
        <v>384</v>
      </c>
      <c r="D121" s="32" t="s">
        <v>385</v>
      </c>
      <c r="E121" s="33">
        <v>-16500</v>
      </c>
      <c r="F121" s="33">
        <v>-16595</v>
      </c>
      <c r="G121" s="33">
        <v>-6750</v>
      </c>
      <c r="H121" s="33">
        <v>-6750</v>
      </c>
      <c r="I121" s="33">
        <f t="shared" si="36"/>
        <v>-8297.5</v>
      </c>
      <c r="J121" s="33">
        <f>F121</f>
        <v>-16595</v>
      </c>
      <c r="L121" s="755"/>
    </row>
    <row r="122" spans="1:13" x14ac:dyDescent="0.25">
      <c r="A122" s="37" t="s">
        <v>386</v>
      </c>
      <c r="B122" s="6" t="s">
        <v>27</v>
      </c>
      <c r="C122" s="6" t="s">
        <v>387</v>
      </c>
      <c r="D122" s="37" t="s">
        <v>388</v>
      </c>
      <c r="E122" s="33">
        <v>-20000</v>
      </c>
      <c r="F122" s="33">
        <v>-17903.27</v>
      </c>
      <c r="G122" s="33">
        <v>-14300</v>
      </c>
      <c r="H122" s="33">
        <v>-14300</v>
      </c>
      <c r="I122" s="33">
        <f t="shared" si="36"/>
        <v>-15800</v>
      </c>
      <c r="J122" s="48">
        <f>H122-17300</f>
        <v>-31600</v>
      </c>
      <c r="L122" s="755"/>
    </row>
    <row r="123" spans="1:13" x14ac:dyDescent="0.25">
      <c r="A123" s="32" t="s">
        <v>389</v>
      </c>
      <c r="B123" s="6" t="s">
        <v>27</v>
      </c>
      <c r="C123" s="6" t="s">
        <v>390</v>
      </c>
      <c r="D123" s="32" t="s">
        <v>391</v>
      </c>
      <c r="E123" s="33">
        <v>-13634.5</v>
      </c>
      <c r="F123" s="33">
        <v>-13603.93</v>
      </c>
      <c r="G123" s="33">
        <v>-6895.4</v>
      </c>
      <c r="H123" s="33">
        <v>0</v>
      </c>
      <c r="I123" s="33">
        <f t="shared" si="36"/>
        <v>-6817.25</v>
      </c>
      <c r="J123" s="33">
        <f>-9057.9-4576.6</f>
        <v>-13634.5</v>
      </c>
      <c r="L123" s="755"/>
    </row>
    <row r="124" spans="1:13" x14ac:dyDescent="0.25">
      <c r="A124" s="37" t="s">
        <v>392</v>
      </c>
      <c r="B124" s="6" t="s">
        <v>27</v>
      </c>
      <c r="C124" s="6" t="s">
        <v>393</v>
      </c>
      <c r="D124" s="37" t="s">
        <v>394</v>
      </c>
      <c r="E124" s="33">
        <v>-7500</v>
      </c>
      <c r="F124" s="33">
        <v>-6660</v>
      </c>
      <c r="G124" s="33">
        <v>-1733</v>
      </c>
      <c r="H124" s="33">
        <v>-1733</v>
      </c>
      <c r="I124" s="33">
        <f t="shared" si="36"/>
        <v>-3847</v>
      </c>
      <c r="J124" s="33">
        <v>-7694</v>
      </c>
      <c r="L124" s="755"/>
    </row>
    <row r="125" spans="1:13" x14ac:dyDescent="0.25">
      <c r="A125" s="32" t="s">
        <v>395</v>
      </c>
      <c r="B125" s="6" t="s">
        <v>27</v>
      </c>
      <c r="C125" s="6" t="s">
        <v>396</v>
      </c>
      <c r="D125" s="32" t="s">
        <v>397</v>
      </c>
      <c r="E125" s="78">
        <v>-20000</v>
      </c>
      <c r="F125" s="78">
        <v>-9655.2000000000007</v>
      </c>
      <c r="G125" s="78">
        <v>-6000</v>
      </c>
      <c r="H125" s="78">
        <v>-6000</v>
      </c>
      <c r="I125" s="75">
        <f t="shared" si="36"/>
        <v>-6155.5</v>
      </c>
      <c r="J125" s="75">
        <f>-9655.2-2655.8</f>
        <v>-12311</v>
      </c>
      <c r="L125" s="755"/>
    </row>
    <row r="126" spans="1:13" x14ac:dyDescent="0.25">
      <c r="A126" s="39" t="s">
        <v>398</v>
      </c>
      <c r="B126" s="40"/>
      <c r="C126" s="40"/>
      <c r="D126" s="39" t="s">
        <v>399</v>
      </c>
      <c r="E126" s="41">
        <f t="shared" ref="E126:J126" si="37">E127</f>
        <v>-20000</v>
      </c>
      <c r="F126" s="41">
        <f t="shared" si="37"/>
        <v>-19305.52</v>
      </c>
      <c r="G126" s="41">
        <f t="shared" si="37"/>
        <v>-694.48</v>
      </c>
      <c r="H126" s="41">
        <f t="shared" si="37"/>
        <v>-694.48</v>
      </c>
      <c r="I126" s="41">
        <f t="shared" si="37"/>
        <v>-10000</v>
      </c>
      <c r="J126" s="41">
        <f t="shared" si="37"/>
        <v>-20000</v>
      </c>
      <c r="K126" s="70">
        <f>E126-J126</f>
        <v>0</v>
      </c>
      <c r="L126" s="755"/>
    </row>
    <row r="127" spans="1:13" x14ac:dyDescent="0.25">
      <c r="A127" s="32" t="s">
        <v>400</v>
      </c>
      <c r="B127" s="6" t="s">
        <v>27</v>
      </c>
      <c r="C127" s="6" t="s">
        <v>401</v>
      </c>
      <c r="D127" s="32" t="s">
        <v>402</v>
      </c>
      <c r="E127" s="78">
        <v>-20000</v>
      </c>
      <c r="F127" s="78">
        <v>-19305.52</v>
      </c>
      <c r="G127" s="78">
        <v>-694.48</v>
      </c>
      <c r="H127" s="78">
        <v>-694.48</v>
      </c>
      <c r="I127" s="75">
        <f>J127*0.5</f>
        <v>-10000</v>
      </c>
      <c r="J127" s="75">
        <f>-19305.52-694.48</f>
        <v>-20000</v>
      </c>
      <c r="L127" s="755"/>
    </row>
    <row r="128" spans="1:13" x14ac:dyDescent="0.25">
      <c r="A128" s="39" t="s">
        <v>403</v>
      </c>
      <c r="B128" s="40"/>
      <c r="C128" s="40"/>
      <c r="D128" s="39" t="s">
        <v>404</v>
      </c>
      <c r="E128" s="41">
        <f>SUM(E129:E131)</f>
        <v>-17500</v>
      </c>
      <c r="F128" s="41">
        <f>SUM(F129:F131)</f>
        <v>-1365.5</v>
      </c>
      <c r="G128" s="41">
        <f>SUM(G129:G131)</f>
        <v>0</v>
      </c>
      <c r="H128" s="41">
        <f>SUM(H129:H131)</f>
        <v>0</v>
      </c>
      <c r="I128" s="41">
        <f>SUM(I129:I132)</f>
        <v>-16684</v>
      </c>
      <c r="J128" s="41">
        <f>SUM(J129:J132)</f>
        <v>-44368</v>
      </c>
      <c r="K128" s="70">
        <f>E128-J128</f>
        <v>26868</v>
      </c>
      <c r="L128" s="755"/>
      <c r="M128" s="70">
        <f>E128-J129-J130</f>
        <v>-9500</v>
      </c>
    </row>
    <row r="129" spans="1:15" x14ac:dyDescent="0.25">
      <c r="A129" s="32" t="s">
        <v>405</v>
      </c>
      <c r="B129" s="6" t="s">
        <v>32</v>
      </c>
      <c r="C129" s="6" t="s">
        <v>406</v>
      </c>
      <c r="D129" s="32" t="s">
        <v>407</v>
      </c>
      <c r="E129" s="33">
        <v>-16000</v>
      </c>
      <c r="F129" s="33">
        <v>0</v>
      </c>
      <c r="G129" s="33">
        <v>0</v>
      </c>
      <c r="H129" s="33">
        <v>0</v>
      </c>
      <c r="I129" s="33">
        <f>J129*0.5</f>
        <v>-4000</v>
      </c>
      <c r="J129" s="33">
        <v>-8000</v>
      </c>
      <c r="L129" s="755"/>
    </row>
    <row r="130" spans="1:15" x14ac:dyDescent="0.25">
      <c r="A130" s="32"/>
      <c r="B130" s="6" t="s">
        <v>32</v>
      </c>
      <c r="C130" s="6" t="s">
        <v>408</v>
      </c>
      <c r="D130" s="37" t="s">
        <v>409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t="s">
        <v>410</v>
      </c>
      <c r="L130" s="755"/>
    </row>
    <row r="131" spans="1:15" x14ac:dyDescent="0.25">
      <c r="A131" s="32" t="s">
        <v>411</v>
      </c>
      <c r="B131" s="6" t="s">
        <v>32</v>
      </c>
      <c r="C131" s="6" t="s">
        <v>412</v>
      </c>
      <c r="D131" s="32" t="s">
        <v>413</v>
      </c>
      <c r="E131" s="78">
        <v>-1500</v>
      </c>
      <c r="F131" s="78">
        <v>-1365.5</v>
      </c>
      <c r="G131" s="78">
        <v>0</v>
      </c>
      <c r="H131" s="78">
        <v>0</v>
      </c>
      <c r="I131" s="78">
        <f>J131*0.5</f>
        <v>-684</v>
      </c>
      <c r="J131" s="78">
        <v>-1368</v>
      </c>
      <c r="K131" s="70">
        <f>E131-J131</f>
        <v>-132</v>
      </c>
      <c r="L131" s="755"/>
    </row>
    <row r="132" spans="1:15" x14ac:dyDescent="0.25">
      <c r="A132" s="32"/>
      <c r="B132" s="6"/>
      <c r="C132" s="79"/>
      <c r="D132" s="80"/>
      <c r="E132" s="81"/>
      <c r="F132" s="81"/>
      <c r="G132" s="81"/>
      <c r="H132" s="81"/>
      <c r="I132" s="81">
        <f>-12000</f>
        <v>-12000</v>
      </c>
      <c r="J132" s="81">
        <v>-35000</v>
      </c>
      <c r="K132" s="70" t="s">
        <v>414</v>
      </c>
      <c r="L132" s="1"/>
    </row>
    <row r="133" spans="1:15" x14ac:dyDescent="0.25">
      <c r="A133" s="26" t="s">
        <v>415</v>
      </c>
      <c r="B133" s="27"/>
      <c r="C133" s="27"/>
      <c r="D133" s="26" t="s">
        <v>416</v>
      </c>
      <c r="E133" s="38">
        <f t="shared" ref="E133:J133" si="38">E134+E136+E141</f>
        <v>-295853.48</v>
      </c>
      <c r="F133" s="38">
        <f t="shared" si="38"/>
        <v>-225095.05</v>
      </c>
      <c r="G133" s="38">
        <f t="shared" si="38"/>
        <v>-23360.57</v>
      </c>
      <c r="H133" s="38">
        <f t="shared" si="38"/>
        <v>-3405</v>
      </c>
      <c r="I133" s="38">
        <f t="shared" si="38"/>
        <v>-263112.57</v>
      </c>
      <c r="J133" s="38">
        <f t="shared" si="38"/>
        <v>-526225.14</v>
      </c>
    </row>
    <row r="134" spans="1:15" x14ac:dyDescent="0.25">
      <c r="A134" s="39" t="s">
        <v>417</v>
      </c>
      <c r="B134" s="40"/>
      <c r="C134" s="40"/>
      <c r="D134" s="39" t="s">
        <v>418</v>
      </c>
      <c r="E134" s="82">
        <f t="shared" ref="E134:J134" si="39">E135</f>
        <v>-149031.29999999999</v>
      </c>
      <c r="F134" s="82">
        <f t="shared" si="39"/>
        <v>0</v>
      </c>
      <c r="G134" s="82">
        <f t="shared" si="39"/>
        <v>0</v>
      </c>
      <c r="H134" s="82">
        <f t="shared" si="39"/>
        <v>0</v>
      </c>
      <c r="I134" s="82">
        <f t="shared" si="39"/>
        <v>0</v>
      </c>
      <c r="J134" s="82">
        <f t="shared" si="39"/>
        <v>0</v>
      </c>
    </row>
    <row r="135" spans="1:15" x14ac:dyDescent="0.25">
      <c r="A135" s="32"/>
      <c r="B135" s="6" t="s">
        <v>42</v>
      </c>
      <c r="C135" s="6" t="s">
        <v>419</v>
      </c>
      <c r="D135" s="32" t="s">
        <v>44</v>
      </c>
      <c r="E135" s="33">
        <v>-149031.29999999999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</row>
    <row r="136" spans="1:15" x14ac:dyDescent="0.25">
      <c r="A136" s="39" t="s">
        <v>420</v>
      </c>
      <c r="B136" s="40"/>
      <c r="C136" s="40"/>
      <c r="D136" s="39" t="s">
        <v>421</v>
      </c>
      <c r="E136" s="82">
        <f>SUM(E137:E139)</f>
        <v>-146822.18</v>
      </c>
      <c r="F136" s="82">
        <f>SUM(F137:F139)</f>
        <v>-93294.95</v>
      </c>
      <c r="G136" s="82">
        <f>SUM(G137:G139)</f>
        <v>-23360.57</v>
      </c>
      <c r="H136" s="82">
        <f>SUM(H137:H140)</f>
        <v>-3405</v>
      </c>
      <c r="I136" s="82">
        <f>SUM(I137:I140)</f>
        <v>-56417.72</v>
      </c>
      <c r="J136" s="82">
        <f>SUM(J137:J140)</f>
        <v>-112835.44</v>
      </c>
    </row>
    <row r="137" spans="1:15" x14ac:dyDescent="0.25">
      <c r="A137" s="32"/>
      <c r="B137" s="42" t="s">
        <v>48</v>
      </c>
      <c r="C137" s="6" t="s">
        <v>422</v>
      </c>
      <c r="D137" s="32" t="s">
        <v>50</v>
      </c>
      <c r="E137" s="33">
        <v>-100031.3</v>
      </c>
      <c r="F137" s="33">
        <v>-61125.440000000002</v>
      </c>
      <c r="G137" s="33">
        <v>-19455.32</v>
      </c>
      <c r="H137" s="33">
        <v>0</v>
      </c>
      <c r="I137" s="33">
        <f>J137*0.5</f>
        <v>-35257.159999999996</v>
      </c>
      <c r="J137" s="33">
        <f>-49059-12499.92-6955.4-2000</f>
        <v>-70514.319999999992</v>
      </c>
      <c r="K137" t="s">
        <v>423</v>
      </c>
    </row>
    <row r="138" spans="1:15" x14ac:dyDescent="0.25">
      <c r="A138" s="32" t="s">
        <v>424</v>
      </c>
      <c r="B138" s="6" t="s">
        <v>48</v>
      </c>
      <c r="C138" s="6" t="s">
        <v>425</v>
      </c>
      <c r="D138" s="32" t="s">
        <v>53</v>
      </c>
      <c r="E138" s="33">
        <v>-42750.3</v>
      </c>
      <c r="F138" s="33">
        <v>-25404.31</v>
      </c>
      <c r="G138" s="33">
        <v>-3785.25</v>
      </c>
      <c r="H138" s="33">
        <v>-1335</v>
      </c>
      <c r="I138" s="33">
        <f>J138*0.5</f>
        <v>-18993.060000000001</v>
      </c>
      <c r="J138" s="33">
        <f>-342.4-2600-13665-15000-6378.72</f>
        <v>-37986.120000000003</v>
      </c>
      <c r="K138" t="s">
        <v>426</v>
      </c>
    </row>
    <row r="139" spans="1:15" x14ac:dyDescent="0.25">
      <c r="A139" s="37" t="s">
        <v>427</v>
      </c>
      <c r="B139" s="6" t="s">
        <v>48</v>
      </c>
      <c r="C139" s="6" t="s">
        <v>428</v>
      </c>
      <c r="D139" s="37" t="s">
        <v>56</v>
      </c>
      <c r="E139" s="33">
        <v>-4040.58</v>
      </c>
      <c r="F139" s="33">
        <v>-6765.2</v>
      </c>
      <c r="G139" s="33">
        <v>-120</v>
      </c>
      <c r="H139" s="33">
        <v>-120</v>
      </c>
      <c r="I139" s="33">
        <f>J139*0.5</f>
        <v>-1192.5</v>
      </c>
      <c r="J139" s="33">
        <f>-120-1970-295</f>
        <v>-2385</v>
      </c>
      <c r="K139" t="s">
        <v>426</v>
      </c>
    </row>
    <row r="140" spans="1:15" x14ac:dyDescent="0.25">
      <c r="A140" s="37"/>
      <c r="B140" s="6" t="s">
        <v>48</v>
      </c>
      <c r="C140" s="83"/>
      <c r="D140" s="84" t="s">
        <v>429</v>
      </c>
      <c r="E140" s="85"/>
      <c r="F140" s="85"/>
      <c r="G140" s="85"/>
      <c r="H140" s="85">
        <f>-(1600+350)</f>
        <v>-1950</v>
      </c>
      <c r="I140" s="85">
        <f>J140*0.5</f>
        <v>-975</v>
      </c>
      <c r="J140" s="85">
        <f>-(1600+350)</f>
        <v>-1950</v>
      </c>
    </row>
    <row r="141" spans="1:15" x14ac:dyDescent="0.25">
      <c r="A141" s="39" t="s">
        <v>430</v>
      </c>
      <c r="B141" s="40"/>
      <c r="C141" s="40"/>
      <c r="D141" s="39" t="s">
        <v>431</v>
      </c>
      <c r="E141" s="82">
        <f t="shared" ref="E141:J141" si="40">E142</f>
        <v>0</v>
      </c>
      <c r="F141" s="82">
        <f t="shared" si="40"/>
        <v>-131800.1</v>
      </c>
      <c r="G141" s="82">
        <f t="shared" si="40"/>
        <v>0</v>
      </c>
      <c r="H141" s="82">
        <f t="shared" si="40"/>
        <v>0</v>
      </c>
      <c r="I141" s="82">
        <f t="shared" si="40"/>
        <v>-206694.85</v>
      </c>
      <c r="J141" s="82">
        <f t="shared" si="40"/>
        <v>-413389.7</v>
      </c>
    </row>
    <row r="142" spans="1:15" x14ac:dyDescent="0.25">
      <c r="A142" s="32" t="s">
        <v>432</v>
      </c>
      <c r="B142" s="6" t="s">
        <v>61</v>
      </c>
      <c r="C142" s="6" t="s">
        <v>433</v>
      </c>
      <c r="D142" s="32" t="s">
        <v>63</v>
      </c>
      <c r="E142" s="33">
        <v>0</v>
      </c>
      <c r="F142" s="33">
        <v>-131800.1</v>
      </c>
      <c r="G142" s="33">
        <v>0</v>
      </c>
      <c r="H142" s="33">
        <v>0</v>
      </c>
      <c r="I142" s="33">
        <f>J142*0.5</f>
        <v>-206694.85</v>
      </c>
      <c r="J142" s="33">
        <f>-(100697.6+31102.5+17968+145301.6+(144040*0.5)+(92600*0.5))</f>
        <v>-413389.7</v>
      </c>
    </row>
    <row r="143" spans="1:15" x14ac:dyDescent="0.25">
      <c r="A143" s="26" t="s">
        <v>434</v>
      </c>
      <c r="B143" s="27"/>
      <c r="C143" s="27"/>
      <c r="D143" s="26" t="s">
        <v>435</v>
      </c>
      <c r="E143" s="38">
        <f>SUM(E144:E145)</f>
        <v>-85000</v>
      </c>
      <c r="F143" s="38">
        <f>SUM(F144:F145)</f>
        <v>-7598.14</v>
      </c>
      <c r="G143" s="38">
        <f>SUM(G144:G145)</f>
        <v>-374.4</v>
      </c>
      <c r="H143" s="38">
        <f>SUM(H144:H145)</f>
        <v>0</v>
      </c>
      <c r="I143" s="38">
        <f>SUM(I144:I145)</f>
        <v>-28490</v>
      </c>
      <c r="J143" s="38">
        <f>SUM(J144:J146)</f>
        <v>-114980</v>
      </c>
      <c r="L143" s="86">
        <f>E143-J143</f>
        <v>29980</v>
      </c>
      <c r="M143" s="63" t="s">
        <v>436</v>
      </c>
      <c r="N143" s="87"/>
      <c r="O143" s="64"/>
    </row>
    <row r="144" spans="1:15" x14ac:dyDescent="0.25">
      <c r="A144" s="32" t="s">
        <v>437</v>
      </c>
      <c r="B144" s="62" t="s">
        <v>438</v>
      </c>
      <c r="C144" s="79" t="s">
        <v>439</v>
      </c>
      <c r="D144" s="80" t="s">
        <v>440</v>
      </c>
      <c r="E144" s="88">
        <v>-70000</v>
      </c>
      <c r="F144" s="88">
        <v>-5518.14</v>
      </c>
      <c r="G144" s="88">
        <v>-374.4</v>
      </c>
      <c r="H144" s="88">
        <v>0</v>
      </c>
      <c r="I144" s="88">
        <f>J144*0.5</f>
        <v>-27450</v>
      </c>
      <c r="J144" s="81">
        <f>-SUM(N144:N147)</f>
        <v>-54900</v>
      </c>
      <c r="K144" t="s">
        <v>441</v>
      </c>
      <c r="M144" s="89" t="s">
        <v>442</v>
      </c>
      <c r="N144" s="90">
        <v>5000</v>
      </c>
      <c r="O144" s="91" t="s">
        <v>443</v>
      </c>
    </row>
    <row r="145" spans="1:15" x14ac:dyDescent="0.25">
      <c r="A145" s="32"/>
      <c r="B145" s="6" t="s">
        <v>438</v>
      </c>
      <c r="C145" s="6" t="s">
        <v>444</v>
      </c>
      <c r="D145" s="32" t="s">
        <v>445</v>
      </c>
      <c r="E145" s="33">
        <v>-15000</v>
      </c>
      <c r="F145" s="33">
        <v>-2080</v>
      </c>
      <c r="G145" s="33">
        <v>0</v>
      </c>
      <c r="H145" s="33">
        <v>0</v>
      </c>
      <c r="I145" s="33">
        <f>J145*0.5</f>
        <v>-1040</v>
      </c>
      <c r="J145" s="33">
        <v>-2080</v>
      </c>
      <c r="M145" s="89" t="s">
        <v>446</v>
      </c>
      <c r="N145" s="90">
        <v>5000</v>
      </c>
      <c r="O145" s="91" t="s">
        <v>447</v>
      </c>
    </row>
    <row r="146" spans="1:15" x14ac:dyDescent="0.25">
      <c r="A146" s="32"/>
      <c r="B146" s="6"/>
      <c r="C146" s="79"/>
      <c r="D146" s="80" t="s">
        <v>448</v>
      </c>
      <c r="E146" s="88"/>
      <c r="F146" s="88"/>
      <c r="G146" s="88"/>
      <c r="H146" s="88"/>
      <c r="I146" s="88"/>
      <c r="J146" s="81">
        <f>-N150</f>
        <v>-58000</v>
      </c>
      <c r="K146" s="70" t="s">
        <v>414</v>
      </c>
      <c r="M146" s="89" t="s">
        <v>449</v>
      </c>
      <c r="N146" s="90">
        <v>5000</v>
      </c>
      <c r="O146" s="91" t="s">
        <v>450</v>
      </c>
    </row>
    <row r="147" spans="1:15" x14ac:dyDescent="0.25">
      <c r="A147" s="26" t="s">
        <v>451</v>
      </c>
      <c r="B147" s="27"/>
      <c r="C147" s="27"/>
      <c r="D147" s="26" t="s">
        <v>452</v>
      </c>
      <c r="E147" s="38">
        <f t="shared" ref="E147:J147" si="41">SUM(E148:E150)</f>
        <v>-417019.38</v>
      </c>
      <c r="F147" s="38">
        <f t="shared" si="41"/>
        <v>-471529.15</v>
      </c>
      <c r="G147" s="38">
        <f t="shared" si="41"/>
        <v>-112533.62</v>
      </c>
      <c r="H147" s="38">
        <f t="shared" si="41"/>
        <v>-92815.74</v>
      </c>
      <c r="I147" s="38">
        <f t="shared" si="41"/>
        <v>-144975.88499999998</v>
      </c>
      <c r="J147" s="38">
        <f t="shared" si="41"/>
        <v>-289951.76999999996</v>
      </c>
      <c r="M147" s="81" t="s">
        <v>453</v>
      </c>
      <c r="N147" s="81">
        <v>39900</v>
      </c>
      <c r="O147" s="81" t="s">
        <v>454</v>
      </c>
    </row>
    <row r="148" spans="1:15" x14ac:dyDescent="0.25">
      <c r="A148" s="32" t="s">
        <v>455</v>
      </c>
      <c r="B148" s="6" t="s">
        <v>123</v>
      </c>
      <c r="C148" s="6" t="s">
        <v>456</v>
      </c>
      <c r="D148" s="32" t="s">
        <v>457</v>
      </c>
      <c r="E148" s="33">
        <v>-325273.76</v>
      </c>
      <c r="F148" s="33">
        <v>-450000</v>
      </c>
      <c r="G148" s="33">
        <v>-109615.59</v>
      </c>
      <c r="H148" s="33">
        <v>-90153.27</v>
      </c>
      <c r="I148" s="33">
        <f>J148*0.5</f>
        <v>-92974.25</v>
      </c>
      <c r="J148" s="33">
        <v>-185948.5</v>
      </c>
    </row>
    <row r="149" spans="1:15" x14ac:dyDescent="0.25">
      <c r="A149" s="37" t="s">
        <v>458</v>
      </c>
      <c r="B149" s="6" t="s">
        <v>123</v>
      </c>
      <c r="C149" s="6" t="s">
        <v>459</v>
      </c>
      <c r="D149" s="37" t="s">
        <v>460</v>
      </c>
      <c r="E149" s="59">
        <v>-66745.62</v>
      </c>
      <c r="F149" s="59">
        <v>0</v>
      </c>
      <c r="G149" s="59">
        <v>-255.56</v>
      </c>
      <c r="H149" s="59">
        <v>0</v>
      </c>
      <c r="I149" s="59">
        <f>J149*0.5</f>
        <v>-38312.359999999986</v>
      </c>
      <c r="J149" s="59">
        <f>-(J148+J34)</f>
        <v>-76624.719999999972</v>
      </c>
      <c r="K149" s="92"/>
      <c r="M149" s="63" t="s">
        <v>448</v>
      </c>
      <c r="N149" s="87"/>
      <c r="O149" s="64"/>
    </row>
    <row r="150" spans="1:15" x14ac:dyDescent="0.25">
      <c r="A150" s="32" t="s">
        <v>461</v>
      </c>
      <c r="B150" s="6" t="s">
        <v>129</v>
      </c>
      <c r="C150" s="6" t="s">
        <v>462</v>
      </c>
      <c r="D150" s="32" t="s">
        <v>463</v>
      </c>
      <c r="E150" s="93">
        <v>-25000</v>
      </c>
      <c r="F150" s="93">
        <v>-21529.15</v>
      </c>
      <c r="G150" s="93">
        <v>-2662.47</v>
      </c>
      <c r="H150" s="93">
        <v>-2662.47</v>
      </c>
      <c r="I150" s="33">
        <f>J150*0.5</f>
        <v>-13689.275000000001</v>
      </c>
      <c r="J150" s="33">
        <f>-24222.47-430-430-2296.08</f>
        <v>-27378.550000000003</v>
      </c>
      <c r="K150" s="92"/>
      <c r="M150" s="81"/>
      <c r="N150" s="81">
        <v>58000</v>
      </c>
      <c r="O150" s="81" t="s">
        <v>464</v>
      </c>
    </row>
    <row r="151" spans="1:15" x14ac:dyDescent="0.25">
      <c r="A151" s="26" t="s">
        <v>465</v>
      </c>
      <c r="B151" s="27"/>
      <c r="C151" s="27"/>
      <c r="D151" s="26" t="s">
        <v>466</v>
      </c>
      <c r="E151" s="38">
        <f t="shared" ref="E151:J151" si="42">SUM(E152:E156)</f>
        <v>-618759</v>
      </c>
      <c r="F151" s="38">
        <f t="shared" si="42"/>
        <v>-634705.57000000007</v>
      </c>
      <c r="G151" s="38">
        <f t="shared" si="42"/>
        <v>-101156.88</v>
      </c>
      <c r="H151" s="38">
        <f t="shared" si="42"/>
        <v>-101156.88</v>
      </c>
      <c r="I151" s="38">
        <f t="shared" si="42"/>
        <v>-294657.87</v>
      </c>
      <c r="J151" s="38">
        <f t="shared" si="42"/>
        <v>-589315.74</v>
      </c>
    </row>
    <row r="152" spans="1:15" x14ac:dyDescent="0.25">
      <c r="A152" s="32" t="s">
        <v>467</v>
      </c>
      <c r="B152" s="6" t="s">
        <v>139</v>
      </c>
      <c r="C152" s="6" t="s">
        <v>468</v>
      </c>
      <c r="D152" s="32" t="s">
        <v>141</v>
      </c>
      <c r="E152" s="33">
        <v>-199103.08</v>
      </c>
      <c r="F152" s="33">
        <v>-596021.30000000005</v>
      </c>
      <c r="G152" s="33">
        <v>-100156.88</v>
      </c>
      <c r="H152" s="33">
        <v>-100156.88</v>
      </c>
      <c r="I152" s="33">
        <f>J152*0.5</f>
        <v>-99551.54</v>
      </c>
      <c r="J152" s="33">
        <f>-199103.08</f>
        <v>-199103.08</v>
      </c>
      <c r="K152" t="s">
        <v>469</v>
      </c>
    </row>
    <row r="153" spans="1:15" x14ac:dyDescent="0.25">
      <c r="A153" s="37"/>
      <c r="B153" s="6" t="s">
        <v>139</v>
      </c>
      <c r="C153" s="6" t="s">
        <v>470</v>
      </c>
      <c r="D153" s="60" t="s">
        <v>471</v>
      </c>
      <c r="E153" s="33">
        <v>-21250</v>
      </c>
      <c r="F153" s="33">
        <v>-6149.93</v>
      </c>
      <c r="G153" s="33">
        <v>-1000</v>
      </c>
      <c r="H153" s="33">
        <v>-1000</v>
      </c>
      <c r="I153" s="33">
        <f>J153*0.5</f>
        <v>-2000</v>
      </c>
      <c r="J153" s="33">
        <v>-4000</v>
      </c>
      <c r="K153" s="54">
        <v>4</v>
      </c>
    </row>
    <row r="154" spans="1:15" x14ac:dyDescent="0.25">
      <c r="A154" s="37"/>
      <c r="B154" s="6" t="s">
        <v>139</v>
      </c>
      <c r="C154" s="6" t="s">
        <v>472</v>
      </c>
      <c r="D154" s="60" t="s">
        <v>145</v>
      </c>
      <c r="E154" s="33">
        <f>-345905.92-17500</f>
        <v>-363405.92</v>
      </c>
      <c r="F154" s="33">
        <v>-7560</v>
      </c>
      <c r="G154" s="33">
        <v>0</v>
      </c>
      <c r="H154" s="33">
        <v>0</v>
      </c>
      <c r="I154" s="33">
        <f>J154*0.5</f>
        <v>-175803.8</v>
      </c>
      <c r="J154" s="33">
        <f>-(325547.6+18500+7560)</f>
        <v>-351607.6</v>
      </c>
      <c r="K154" t="s">
        <v>473</v>
      </c>
      <c r="N154" s="63" t="s">
        <v>474</v>
      </c>
      <c r="O154" s="64"/>
    </row>
    <row r="155" spans="1:15" x14ac:dyDescent="0.25">
      <c r="A155" s="37"/>
      <c r="B155" s="6" t="s">
        <v>139</v>
      </c>
      <c r="C155" s="6" t="s">
        <v>475</v>
      </c>
      <c r="D155" s="60" t="s">
        <v>476</v>
      </c>
      <c r="E155" s="33">
        <v>-10000</v>
      </c>
      <c r="F155" s="33">
        <v>0</v>
      </c>
      <c r="G155" s="33">
        <v>0</v>
      </c>
      <c r="H155" s="33">
        <v>0</v>
      </c>
      <c r="I155" s="33">
        <f>J155/2</f>
        <v>-4802.53</v>
      </c>
      <c r="J155" s="33">
        <v>-9605.06</v>
      </c>
      <c r="K155" t="s">
        <v>477</v>
      </c>
      <c r="N155" s="65">
        <v>-9312.52</v>
      </c>
      <c r="O155" s="66" t="s">
        <v>478</v>
      </c>
    </row>
    <row r="156" spans="1:15" x14ac:dyDescent="0.25">
      <c r="A156" s="37"/>
      <c r="B156" s="6" t="s">
        <v>139</v>
      </c>
      <c r="C156" s="6" t="s">
        <v>479</v>
      </c>
      <c r="D156" s="60" t="s">
        <v>480</v>
      </c>
      <c r="E156" s="33">
        <v>-25000</v>
      </c>
      <c r="F156" s="33">
        <v>-24974.34</v>
      </c>
      <c r="G156" s="33">
        <v>0</v>
      </c>
      <c r="H156" s="33">
        <v>0</v>
      </c>
      <c r="I156" s="33">
        <f>J156*0.5</f>
        <v>-12500</v>
      </c>
      <c r="J156" s="33">
        <v>-25000</v>
      </c>
      <c r="K156" s="94"/>
      <c r="N156" s="95" t="s">
        <v>481</v>
      </c>
      <c r="O156" s="66" t="s">
        <v>482</v>
      </c>
    </row>
    <row r="157" spans="1:15" x14ac:dyDescent="0.25">
      <c r="A157" s="26" t="s">
        <v>483</v>
      </c>
      <c r="B157" s="27"/>
      <c r="C157" s="27"/>
      <c r="D157" s="26" t="s">
        <v>484</v>
      </c>
      <c r="E157" s="38">
        <f t="shared" ref="E157:I157" si="43">E158</f>
        <v>-1000</v>
      </c>
      <c r="F157" s="38">
        <f t="shared" si="43"/>
        <v>-1000</v>
      </c>
      <c r="G157" s="38">
        <f t="shared" si="43"/>
        <v>-1000</v>
      </c>
      <c r="H157" s="38">
        <f t="shared" si="43"/>
        <v>-1000</v>
      </c>
      <c r="I157" s="38">
        <f t="shared" si="43"/>
        <v>-500</v>
      </c>
      <c r="J157" s="38">
        <f>J158</f>
        <v>-1000</v>
      </c>
    </row>
    <row r="158" spans="1:15" x14ac:dyDescent="0.25">
      <c r="A158" s="37" t="s">
        <v>485</v>
      </c>
      <c r="B158" s="6" t="s">
        <v>155</v>
      </c>
      <c r="C158" s="6" t="s">
        <v>486</v>
      </c>
      <c r="D158" s="37" t="s">
        <v>487</v>
      </c>
      <c r="E158" s="59">
        <v>-1000</v>
      </c>
      <c r="F158" s="59">
        <v>-1000</v>
      </c>
      <c r="G158" s="59">
        <v>-1000</v>
      </c>
      <c r="H158" s="59">
        <v>-1000</v>
      </c>
      <c r="I158" s="59">
        <f>J158*0.5</f>
        <v>-500</v>
      </c>
      <c r="J158" s="59">
        <f>H158</f>
        <v>-1000</v>
      </c>
    </row>
    <row r="159" spans="1:15" x14ac:dyDescent="0.25">
      <c r="A159" s="23" t="s">
        <v>488</v>
      </c>
      <c r="B159" s="24"/>
      <c r="C159" s="24"/>
      <c r="D159" s="23" t="s">
        <v>489</v>
      </c>
      <c r="E159" s="61">
        <f t="shared" ref="E159:J159" si="44">SUM(E160:E161)</f>
        <v>-15000</v>
      </c>
      <c r="F159" s="61">
        <f t="shared" si="44"/>
        <v>-9072.7199999999993</v>
      </c>
      <c r="G159" s="61">
        <f t="shared" si="44"/>
        <v>-8328.75</v>
      </c>
      <c r="H159" s="61">
        <f t="shared" si="44"/>
        <v>0</v>
      </c>
      <c r="I159" s="61">
        <f t="shared" si="44"/>
        <v>-10989.375</v>
      </c>
      <c r="J159" s="61">
        <f t="shared" si="44"/>
        <v>-21978.75</v>
      </c>
    </row>
    <row r="160" spans="1:15" x14ac:dyDescent="0.25">
      <c r="A160" s="37" t="s">
        <v>490</v>
      </c>
      <c r="B160" s="62" t="s">
        <v>161</v>
      </c>
      <c r="C160" s="6" t="s">
        <v>491</v>
      </c>
      <c r="D160" s="37" t="s">
        <v>492</v>
      </c>
      <c r="E160" s="33">
        <v>-15000</v>
      </c>
      <c r="F160" s="33">
        <v>-2072.7199999999998</v>
      </c>
      <c r="G160" s="33">
        <v>-1350</v>
      </c>
      <c r="H160" s="33">
        <v>0</v>
      </c>
      <c r="I160" s="33">
        <f>J160*0.5</f>
        <v>-7500</v>
      </c>
      <c r="J160" s="33">
        <v>-15000</v>
      </c>
    </row>
    <row r="161" spans="1:15" x14ac:dyDescent="0.25">
      <c r="A161" s="37"/>
      <c r="B161" s="62" t="s">
        <v>161</v>
      </c>
      <c r="C161" s="6" t="s">
        <v>493</v>
      </c>
      <c r="D161" s="37" t="s">
        <v>168</v>
      </c>
      <c r="E161" s="33">
        <v>0</v>
      </c>
      <c r="F161" s="33">
        <v>-7000</v>
      </c>
      <c r="G161" s="33">
        <v>-6978.75</v>
      </c>
      <c r="H161" s="33">
        <v>0</v>
      </c>
      <c r="I161" s="33">
        <f>J161*0.5</f>
        <v>-3489.375</v>
      </c>
      <c r="J161" s="33">
        <f>G161</f>
        <v>-6978.75</v>
      </c>
    </row>
    <row r="162" spans="1:15" x14ac:dyDescent="0.25">
      <c r="A162" s="23" t="s">
        <v>494</v>
      </c>
      <c r="B162" s="24"/>
      <c r="C162" s="24"/>
      <c r="D162" s="23" t="s">
        <v>495</v>
      </c>
      <c r="E162" s="61">
        <f t="shared" ref="E162:J162" si="45">SUM(E163:E165)</f>
        <v>-33814.9</v>
      </c>
      <c r="F162" s="61">
        <f t="shared" si="45"/>
        <v>-33768.639999999999</v>
      </c>
      <c r="G162" s="61">
        <f t="shared" si="45"/>
        <v>-12118</v>
      </c>
      <c r="H162" s="61">
        <f t="shared" si="45"/>
        <v>-12118</v>
      </c>
      <c r="I162" s="61">
        <f t="shared" si="45"/>
        <v>-24446.5</v>
      </c>
      <c r="J162" s="61">
        <f t="shared" si="45"/>
        <v>-48893</v>
      </c>
      <c r="L162" s="63" t="s">
        <v>496</v>
      </c>
      <c r="M162" s="96"/>
      <c r="N162" s="97"/>
    </row>
    <row r="163" spans="1:15" x14ac:dyDescent="0.25">
      <c r="A163" s="37" t="s">
        <v>497</v>
      </c>
      <c r="B163" s="6" t="s">
        <v>172</v>
      </c>
      <c r="C163" s="6" t="s">
        <v>498</v>
      </c>
      <c r="D163" s="37" t="s">
        <v>499</v>
      </c>
      <c r="E163" s="33">
        <v>-33814.9</v>
      </c>
      <c r="F163" s="33">
        <v>-33768.639999999999</v>
      </c>
      <c r="G163" s="33">
        <v>-12118</v>
      </c>
      <c r="H163" s="33">
        <v>-12118</v>
      </c>
      <c r="I163" s="33">
        <f>J163*0.5</f>
        <v>-24446.5</v>
      </c>
      <c r="J163" s="33">
        <f>SUM(L163:L167)</f>
        <v>-48893</v>
      </c>
      <c r="K163" t="s">
        <v>500</v>
      </c>
      <c r="L163" s="65">
        <f>G163</f>
        <v>-12118</v>
      </c>
      <c r="M163" s="98" t="s">
        <v>501</v>
      </c>
      <c r="N163" s="98"/>
    </row>
    <row r="164" spans="1:15" x14ac:dyDescent="0.25">
      <c r="A164" s="32" t="s">
        <v>502</v>
      </c>
      <c r="B164" s="6" t="s">
        <v>172</v>
      </c>
      <c r="C164" s="6" t="s">
        <v>503</v>
      </c>
      <c r="D164" s="32" t="s">
        <v>504</v>
      </c>
      <c r="E164" s="33"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L164" s="65">
        <v>-11706</v>
      </c>
      <c r="M164" s="66" t="s">
        <v>505</v>
      </c>
      <c r="N164" s="66"/>
    </row>
    <row r="165" spans="1:15" x14ac:dyDescent="0.25">
      <c r="A165" s="37" t="s">
        <v>506</v>
      </c>
      <c r="B165" s="6" t="s">
        <v>172</v>
      </c>
      <c r="C165" s="6" t="s">
        <v>507</v>
      </c>
      <c r="D165" s="37" t="s">
        <v>508</v>
      </c>
      <c r="E165" s="59">
        <v>0</v>
      </c>
      <c r="F165" s="59">
        <v>0</v>
      </c>
      <c r="G165" s="59">
        <v>0</v>
      </c>
      <c r="H165" s="59">
        <v>0</v>
      </c>
      <c r="I165" s="59">
        <v>0</v>
      </c>
      <c r="J165" s="59">
        <v>0</v>
      </c>
      <c r="L165" s="65">
        <v>-1000</v>
      </c>
      <c r="M165" s="66" t="s">
        <v>509</v>
      </c>
      <c r="N165" s="66"/>
    </row>
    <row r="166" spans="1:15" x14ac:dyDescent="0.25">
      <c r="A166" s="23" t="s">
        <v>510</v>
      </c>
      <c r="B166" s="24"/>
      <c r="C166" s="24"/>
      <c r="D166" s="23" t="s">
        <v>511</v>
      </c>
      <c r="E166" s="61">
        <f t="shared" ref="E166:J166" si="46">SUM(E167:E168)</f>
        <v>-140000</v>
      </c>
      <c r="F166" s="61">
        <f t="shared" si="46"/>
        <v>-6049.6399999999994</v>
      </c>
      <c r="G166" s="61">
        <f t="shared" si="46"/>
        <v>-0.15</v>
      </c>
      <c r="H166" s="61">
        <f t="shared" si="46"/>
        <v>-0.15</v>
      </c>
      <c r="I166" s="61">
        <f t="shared" si="46"/>
        <v>0</v>
      </c>
      <c r="J166" s="61">
        <f t="shared" si="46"/>
        <v>0</v>
      </c>
      <c r="L166" s="65">
        <v>-1000</v>
      </c>
      <c r="M166" s="66" t="s">
        <v>512</v>
      </c>
      <c r="N166" s="66"/>
    </row>
    <row r="167" spans="1:15" x14ac:dyDescent="0.25">
      <c r="A167" s="37" t="s">
        <v>513</v>
      </c>
      <c r="B167" s="6" t="s">
        <v>190</v>
      </c>
      <c r="C167" s="6" t="s">
        <v>514</v>
      </c>
      <c r="D167" s="37" t="s">
        <v>515</v>
      </c>
      <c r="E167" s="33">
        <v>-130000</v>
      </c>
      <c r="F167" s="33">
        <v>-786.94</v>
      </c>
      <c r="G167" s="33">
        <v>-0.15</v>
      </c>
      <c r="H167" s="33">
        <v>-0.15</v>
      </c>
      <c r="I167" s="33">
        <f>J167*0.5</f>
        <v>0</v>
      </c>
      <c r="J167" s="33">
        <v>0</v>
      </c>
      <c r="L167" s="99">
        <f>-25069-L165-L166</f>
        <v>-23069</v>
      </c>
      <c r="M167" s="100" t="s">
        <v>516</v>
      </c>
      <c r="N167" s="100"/>
      <c r="O167" t="s">
        <v>517</v>
      </c>
    </row>
    <row r="168" spans="1:15" x14ac:dyDescent="0.25">
      <c r="A168" s="32"/>
      <c r="B168" s="6" t="s">
        <v>190</v>
      </c>
      <c r="C168" s="6" t="s">
        <v>518</v>
      </c>
      <c r="D168" s="32" t="s">
        <v>519</v>
      </c>
      <c r="E168" s="33">
        <v>-10000</v>
      </c>
      <c r="F168" s="33">
        <v>-5262.7</v>
      </c>
      <c r="G168" s="33">
        <v>0</v>
      </c>
      <c r="H168" s="33">
        <v>0</v>
      </c>
      <c r="I168" s="33">
        <f>J168*0.5</f>
        <v>0</v>
      </c>
      <c r="J168" s="33">
        <v>0</v>
      </c>
    </row>
    <row r="169" spans="1:15" x14ac:dyDescent="0.25">
      <c r="A169" s="23" t="s">
        <v>520</v>
      </c>
      <c r="B169" s="24"/>
      <c r="C169" s="24"/>
      <c r="D169" s="23" t="s">
        <v>521</v>
      </c>
      <c r="E169" s="61">
        <f t="shared" ref="E169:J169" si="47">E170</f>
        <v>0</v>
      </c>
      <c r="F169" s="61">
        <f t="shared" si="47"/>
        <v>0</v>
      </c>
      <c r="G169" s="61">
        <f t="shared" si="47"/>
        <v>0</v>
      </c>
      <c r="H169" s="61">
        <f t="shared" si="47"/>
        <v>0</v>
      </c>
      <c r="I169" s="61">
        <f t="shared" si="47"/>
        <v>0</v>
      </c>
      <c r="J169" s="61">
        <f t="shared" si="47"/>
        <v>0</v>
      </c>
    </row>
    <row r="170" spans="1:15" x14ac:dyDescent="0.25">
      <c r="A170" s="37" t="s">
        <v>522</v>
      </c>
      <c r="B170" s="6" t="s">
        <v>221</v>
      </c>
      <c r="C170" s="6" t="s">
        <v>523</v>
      </c>
      <c r="D170" s="32" t="s">
        <v>524</v>
      </c>
      <c r="E170" s="59">
        <v>0</v>
      </c>
      <c r="F170" s="59">
        <v>0</v>
      </c>
      <c r="G170" s="59">
        <v>0</v>
      </c>
      <c r="H170" s="59">
        <v>0</v>
      </c>
      <c r="I170" s="59">
        <v>0</v>
      </c>
      <c r="J170" s="59">
        <v>0</v>
      </c>
    </row>
    <row r="171" spans="1:15" x14ac:dyDescent="0.25">
      <c r="A171" s="23" t="s">
        <v>525</v>
      </c>
      <c r="B171" s="24"/>
      <c r="C171" s="24"/>
      <c r="D171" s="23" t="s">
        <v>526</v>
      </c>
      <c r="E171" s="61">
        <f t="shared" ref="E171:J171" si="48">E172</f>
        <v>-20000</v>
      </c>
      <c r="F171" s="61">
        <f t="shared" si="48"/>
        <v>-17025.18</v>
      </c>
      <c r="G171" s="61">
        <f t="shared" si="48"/>
        <v>-5592.56</v>
      </c>
      <c r="H171" s="61">
        <f t="shared" si="48"/>
        <v>-5592.56</v>
      </c>
      <c r="I171" s="61">
        <f t="shared" si="48"/>
        <v>-8756.2800000000007</v>
      </c>
      <c r="J171" s="61">
        <f t="shared" si="48"/>
        <v>-17512.560000000001</v>
      </c>
      <c r="M171" s="63" t="s">
        <v>526</v>
      </c>
      <c r="N171" s="87"/>
      <c r="O171" s="64"/>
    </row>
    <row r="172" spans="1:15" x14ac:dyDescent="0.25">
      <c r="A172" s="37" t="s">
        <v>527</v>
      </c>
      <c r="B172" s="6" t="s">
        <v>227</v>
      </c>
      <c r="C172" s="6" t="s">
        <v>528</v>
      </c>
      <c r="D172" s="37" t="s">
        <v>529</v>
      </c>
      <c r="E172" s="33">
        <v>-20000</v>
      </c>
      <c r="F172" s="33">
        <v>-17025.18</v>
      </c>
      <c r="G172" s="33">
        <v>-5592.56</v>
      </c>
      <c r="H172" s="33">
        <v>-5592.56</v>
      </c>
      <c r="I172" s="33">
        <f>J172*0.5</f>
        <v>-8756.2800000000007</v>
      </c>
      <c r="J172" s="33">
        <f>SUM(N172:N177)</f>
        <v>-17512.560000000001</v>
      </c>
      <c r="K172" t="s">
        <v>530</v>
      </c>
      <c r="M172" s="66" t="s">
        <v>531</v>
      </c>
      <c r="N172" s="65">
        <v>-621.36</v>
      </c>
      <c r="O172" s="66" t="s">
        <v>532</v>
      </c>
    </row>
    <row r="173" spans="1:15" x14ac:dyDescent="0.25">
      <c r="A173" s="23" t="s">
        <v>533</v>
      </c>
      <c r="B173" s="24"/>
      <c r="C173" s="24"/>
      <c r="D173" s="23" t="s">
        <v>534</v>
      </c>
      <c r="E173" s="61">
        <f t="shared" ref="E173:J173" si="49">SUM(E174:E175)</f>
        <v>-23000</v>
      </c>
      <c r="F173" s="61">
        <f t="shared" si="49"/>
        <v>0</v>
      </c>
      <c r="G173" s="61">
        <f t="shared" si="49"/>
        <v>-657.69</v>
      </c>
      <c r="H173" s="61">
        <f t="shared" si="49"/>
        <v>-657.69</v>
      </c>
      <c r="I173" s="61">
        <f t="shared" si="49"/>
        <v>-657.69</v>
      </c>
      <c r="J173" s="61">
        <f t="shared" si="49"/>
        <v>-913.42</v>
      </c>
      <c r="M173" s="66" t="s">
        <v>535</v>
      </c>
      <c r="N173" s="65">
        <v>-1560</v>
      </c>
      <c r="O173" s="66" t="s">
        <v>536</v>
      </c>
    </row>
    <row r="174" spans="1:15" x14ac:dyDescent="0.25">
      <c r="A174" s="37" t="s">
        <v>537</v>
      </c>
      <c r="B174" s="6" t="s">
        <v>234</v>
      </c>
      <c r="C174" s="6" t="s">
        <v>538</v>
      </c>
      <c r="D174" s="37" t="s">
        <v>539</v>
      </c>
      <c r="E174" s="59">
        <v>-3000</v>
      </c>
      <c r="F174" s="59">
        <v>0</v>
      </c>
      <c r="G174" s="59">
        <v>0</v>
      </c>
      <c r="H174" s="59">
        <v>0</v>
      </c>
      <c r="I174" s="59">
        <v>0</v>
      </c>
      <c r="J174" s="59">
        <v>0</v>
      </c>
      <c r="M174" s="66" t="s">
        <v>540</v>
      </c>
      <c r="N174" s="65">
        <v>-1331.2</v>
      </c>
      <c r="O174" s="66" t="s">
        <v>541</v>
      </c>
    </row>
    <row r="175" spans="1:15" x14ac:dyDescent="0.25">
      <c r="A175" s="32" t="s">
        <v>542</v>
      </c>
      <c r="B175" s="62" t="s">
        <v>234</v>
      </c>
      <c r="C175" s="6" t="s">
        <v>543</v>
      </c>
      <c r="D175" s="32" t="s">
        <v>544</v>
      </c>
      <c r="E175" s="59">
        <f>-4154.96-15845.04</f>
        <v>-20000</v>
      </c>
      <c r="F175" s="59">
        <v>0</v>
      </c>
      <c r="G175" s="59">
        <v>-657.69</v>
      </c>
      <c r="H175" s="59">
        <v>-657.69</v>
      </c>
      <c r="I175" s="59">
        <v>-657.69</v>
      </c>
      <c r="J175" s="59">
        <v>-913.42</v>
      </c>
      <c r="M175" s="66" t="s">
        <v>540</v>
      </c>
      <c r="N175" s="65">
        <v>-2080</v>
      </c>
      <c r="O175" s="66" t="s">
        <v>545</v>
      </c>
    </row>
    <row r="176" spans="1:15" x14ac:dyDescent="0.25">
      <c r="A176" s="20" t="s">
        <v>546</v>
      </c>
      <c r="B176" s="21"/>
      <c r="C176" s="21"/>
      <c r="D176" s="20" t="s">
        <v>547</v>
      </c>
      <c r="E176" s="71">
        <f t="shared" ref="E176:J176" si="50">E177+E192</f>
        <v>-126600</v>
      </c>
      <c r="F176" s="71">
        <f t="shared" si="50"/>
        <v>-93855.6</v>
      </c>
      <c r="G176" s="71">
        <f t="shared" si="50"/>
        <v>-56611.53</v>
      </c>
      <c r="H176" s="71">
        <f t="shared" si="50"/>
        <v>-40337.47</v>
      </c>
      <c r="I176" s="71">
        <f t="shared" si="50"/>
        <v>-56512.34</v>
      </c>
      <c r="J176" s="71">
        <f t="shared" si="50"/>
        <v>-113024.68</v>
      </c>
      <c r="M176" s="66" t="s">
        <v>548</v>
      </c>
      <c r="N176" s="65">
        <v>-10950</v>
      </c>
      <c r="O176" s="66" t="s">
        <v>549</v>
      </c>
    </row>
    <row r="177" spans="1:19" x14ac:dyDescent="0.25">
      <c r="A177" s="23" t="s">
        <v>550</v>
      </c>
      <c r="B177" s="24"/>
      <c r="C177" s="24"/>
      <c r="D177" s="23" t="s">
        <v>551</v>
      </c>
      <c r="E177" s="61">
        <f t="shared" ref="E177:J177" si="51">SUM(E178:E191)</f>
        <v>-109700</v>
      </c>
      <c r="F177" s="61">
        <f t="shared" si="51"/>
        <v>-93855.6</v>
      </c>
      <c r="G177" s="61">
        <f t="shared" si="51"/>
        <v>-51671.53</v>
      </c>
      <c r="H177" s="61">
        <f t="shared" si="51"/>
        <v>-35397.47</v>
      </c>
      <c r="I177" s="61">
        <f t="shared" si="51"/>
        <v>-48062.34</v>
      </c>
      <c r="J177" s="61">
        <f t="shared" si="51"/>
        <v>-96124.68</v>
      </c>
      <c r="M177" s="66" t="s">
        <v>552</v>
      </c>
      <c r="N177" s="65">
        <v>-970</v>
      </c>
      <c r="O177" s="66" t="s">
        <v>553</v>
      </c>
    </row>
    <row r="178" spans="1:19" x14ac:dyDescent="0.25">
      <c r="A178" s="37" t="s">
        <v>554</v>
      </c>
      <c r="B178" s="6" t="s">
        <v>155</v>
      </c>
      <c r="C178" s="6" t="s">
        <v>555</v>
      </c>
      <c r="D178" s="37" t="s">
        <v>556</v>
      </c>
      <c r="E178" s="59">
        <v>-13500</v>
      </c>
      <c r="F178" s="59">
        <v>-13488.8</v>
      </c>
      <c r="G178" s="59">
        <v>-7028.7</v>
      </c>
      <c r="H178" s="59">
        <v>-3372.2</v>
      </c>
      <c r="I178" s="59">
        <f t="shared" ref="I178:I191" si="52">J178*0.5</f>
        <v>-6744.4</v>
      </c>
      <c r="J178" s="59">
        <f>F178</f>
        <v>-13488.8</v>
      </c>
      <c r="Q178" s="101" t="s">
        <v>557</v>
      </c>
      <c r="R178" s="102"/>
      <c r="S178" s="103"/>
    </row>
    <row r="179" spans="1:19" x14ac:dyDescent="0.25">
      <c r="A179" s="32" t="s">
        <v>558</v>
      </c>
      <c r="B179" s="6" t="s">
        <v>155</v>
      </c>
      <c r="C179" s="6" t="s">
        <v>559</v>
      </c>
      <c r="D179" s="32" t="s">
        <v>560</v>
      </c>
      <c r="E179" s="33">
        <v>-7500</v>
      </c>
      <c r="F179" s="33">
        <v>-6999.2</v>
      </c>
      <c r="G179" s="33">
        <v>-3451.34</v>
      </c>
      <c r="H179" s="33">
        <v>-1716.83</v>
      </c>
      <c r="I179" s="59">
        <f t="shared" si="52"/>
        <v>-3499.6</v>
      </c>
      <c r="J179" s="33">
        <f>F179</f>
        <v>-6999.2</v>
      </c>
      <c r="M179" s="63" t="s">
        <v>561</v>
      </c>
      <c r="N179" s="87"/>
      <c r="O179" s="64"/>
      <c r="Q179" s="35" t="s">
        <v>562</v>
      </c>
      <c r="R179" s="90">
        <v>1872</v>
      </c>
      <c r="S179" s="91" t="s">
        <v>563</v>
      </c>
    </row>
    <row r="180" spans="1:19" x14ac:dyDescent="0.25">
      <c r="A180" s="37" t="s">
        <v>564</v>
      </c>
      <c r="B180" s="6" t="s">
        <v>155</v>
      </c>
      <c r="C180" s="6" t="s">
        <v>565</v>
      </c>
      <c r="D180" s="37" t="s">
        <v>566</v>
      </c>
      <c r="E180" s="59">
        <v>-12000</v>
      </c>
      <c r="F180" s="59">
        <v>-10366.209999999999</v>
      </c>
      <c r="G180" s="59">
        <v>0</v>
      </c>
      <c r="H180" s="59">
        <v>0</v>
      </c>
      <c r="I180" s="48">
        <f t="shared" si="52"/>
        <v>-5586</v>
      </c>
      <c r="J180" s="48">
        <f>-SUM(R179:R182)</f>
        <v>-11172</v>
      </c>
      <c r="K180" t="s">
        <v>567</v>
      </c>
      <c r="M180" s="66" t="s">
        <v>568</v>
      </c>
      <c r="N180" s="65">
        <f>-3800*1.04</f>
        <v>-3952</v>
      </c>
      <c r="O180" s="66" t="s">
        <v>569</v>
      </c>
      <c r="P180" t="s">
        <v>570</v>
      </c>
      <c r="Q180" s="35" t="s">
        <v>571</v>
      </c>
      <c r="R180" s="90">
        <v>2300</v>
      </c>
      <c r="S180" s="91" t="s">
        <v>563</v>
      </c>
    </row>
    <row r="181" spans="1:19" x14ac:dyDescent="0.25">
      <c r="A181" s="32" t="s">
        <v>572</v>
      </c>
      <c r="B181" s="6" t="s">
        <v>155</v>
      </c>
      <c r="C181" s="6" t="s">
        <v>573</v>
      </c>
      <c r="D181" s="32" t="s">
        <v>574</v>
      </c>
      <c r="E181" s="33">
        <v>-10000</v>
      </c>
      <c r="F181" s="33">
        <v>-1058.08</v>
      </c>
      <c r="G181" s="33">
        <v>0</v>
      </c>
      <c r="H181" s="33">
        <v>0</v>
      </c>
      <c r="I181" s="33">
        <f t="shared" si="52"/>
        <v>-4004</v>
      </c>
      <c r="J181" s="33">
        <f>SUM(N180:N181)</f>
        <v>-8008</v>
      </c>
      <c r="K181" t="s">
        <v>530</v>
      </c>
      <c r="M181" s="66" t="s">
        <v>575</v>
      </c>
      <c r="N181" s="65">
        <v>-4056</v>
      </c>
      <c r="O181" s="66" t="s">
        <v>576</v>
      </c>
      <c r="Q181" s="35" t="s">
        <v>577</v>
      </c>
      <c r="R181" s="90">
        <v>5000</v>
      </c>
      <c r="S181" s="91" t="s">
        <v>578</v>
      </c>
    </row>
    <row r="182" spans="1:19" x14ac:dyDescent="0.25">
      <c r="A182" s="37" t="s">
        <v>579</v>
      </c>
      <c r="B182" s="6" t="s">
        <v>155</v>
      </c>
      <c r="C182" s="6" t="s">
        <v>580</v>
      </c>
      <c r="D182" s="37" t="s">
        <v>581</v>
      </c>
      <c r="E182" s="59">
        <v>-2600</v>
      </c>
      <c r="F182" s="59">
        <v>-2600</v>
      </c>
      <c r="G182" s="59">
        <v>-2600</v>
      </c>
      <c r="H182" s="59">
        <v>-2600</v>
      </c>
      <c r="I182" s="59">
        <f t="shared" si="52"/>
        <v>-1300</v>
      </c>
      <c r="J182" s="59">
        <f>H182</f>
        <v>-2600</v>
      </c>
      <c r="Q182" s="35" t="s">
        <v>582</v>
      </c>
      <c r="R182" s="99">
        <v>2000</v>
      </c>
      <c r="S182" s="91" t="s">
        <v>578</v>
      </c>
    </row>
    <row r="183" spans="1:19" x14ac:dyDescent="0.25">
      <c r="A183" s="32" t="s">
        <v>583</v>
      </c>
      <c r="B183" s="6" t="s">
        <v>155</v>
      </c>
      <c r="C183" s="6" t="s">
        <v>584</v>
      </c>
      <c r="D183" s="32" t="s">
        <v>585</v>
      </c>
      <c r="E183" s="33">
        <v>-2000</v>
      </c>
      <c r="F183" s="33">
        <v>-844.6</v>
      </c>
      <c r="G183" s="33">
        <v>-264.33999999999997</v>
      </c>
      <c r="H183" s="33">
        <v>-126.64</v>
      </c>
      <c r="I183" s="48">
        <f t="shared" si="52"/>
        <v>-250</v>
      </c>
      <c r="J183" s="48">
        <v>-500</v>
      </c>
      <c r="K183" t="s">
        <v>586</v>
      </c>
      <c r="M183" s="101" t="s">
        <v>587</v>
      </c>
      <c r="N183" s="102"/>
      <c r="O183" s="103"/>
    </row>
    <row r="184" spans="1:19" x14ac:dyDescent="0.25">
      <c r="A184" s="37" t="s">
        <v>588</v>
      </c>
      <c r="B184" s="6" t="s">
        <v>155</v>
      </c>
      <c r="C184" s="6" t="s">
        <v>589</v>
      </c>
      <c r="D184" s="37" t="s">
        <v>590</v>
      </c>
      <c r="E184" s="33">
        <v>-5000</v>
      </c>
      <c r="F184" s="33">
        <v>-4001.72</v>
      </c>
      <c r="G184" s="33">
        <v>-1366</v>
      </c>
      <c r="H184" s="33">
        <v>-1366</v>
      </c>
      <c r="I184" s="48">
        <f t="shared" si="52"/>
        <v>-2000.86</v>
      </c>
      <c r="J184" s="46">
        <f>F184</f>
        <v>-4001.72</v>
      </c>
      <c r="K184" s="104" t="s">
        <v>591</v>
      </c>
      <c r="L184" s="104"/>
      <c r="M184" s="35" t="s">
        <v>592</v>
      </c>
      <c r="N184" s="65">
        <v>125.33</v>
      </c>
      <c r="O184" s="35" t="s">
        <v>593</v>
      </c>
      <c r="P184" s="35"/>
    </row>
    <row r="185" spans="1:19" x14ac:dyDescent="0.25">
      <c r="A185" s="32" t="s">
        <v>594</v>
      </c>
      <c r="B185" s="6" t="s">
        <v>155</v>
      </c>
      <c r="C185" s="6" t="s">
        <v>595</v>
      </c>
      <c r="D185" s="32" t="s">
        <v>596</v>
      </c>
      <c r="E185" s="59">
        <v>-500</v>
      </c>
      <c r="F185" s="59">
        <v>0</v>
      </c>
      <c r="G185" s="59">
        <v>-6.55</v>
      </c>
      <c r="H185" s="59">
        <v>0</v>
      </c>
      <c r="I185" s="48">
        <f t="shared" si="52"/>
        <v>-8</v>
      </c>
      <c r="J185" s="48">
        <v>-16</v>
      </c>
      <c r="K185" t="s">
        <v>586</v>
      </c>
      <c r="M185" s="35" t="s">
        <v>592</v>
      </c>
      <c r="N185" s="90">
        <f>419.08-N184</f>
        <v>293.75</v>
      </c>
      <c r="O185" s="91" t="s">
        <v>597</v>
      </c>
      <c r="P185" s="91" t="s">
        <v>563</v>
      </c>
    </row>
    <row r="186" spans="1:19" x14ac:dyDescent="0.25">
      <c r="A186" s="37" t="s">
        <v>598</v>
      </c>
      <c r="B186" s="6" t="s">
        <v>155</v>
      </c>
      <c r="C186" s="6" t="s">
        <v>599</v>
      </c>
      <c r="D186" s="37" t="s">
        <v>600</v>
      </c>
      <c r="E186" s="33">
        <v>-9000</v>
      </c>
      <c r="F186" s="33">
        <v>-6300.08</v>
      </c>
      <c r="G186" s="33">
        <v>-3393.82</v>
      </c>
      <c r="H186" s="33">
        <v>-3393.82</v>
      </c>
      <c r="I186" s="48">
        <f t="shared" si="52"/>
        <v>-2500</v>
      </c>
      <c r="J186" s="48">
        <v>-5000</v>
      </c>
      <c r="K186" s="49" t="s">
        <v>601</v>
      </c>
      <c r="L186" s="49"/>
      <c r="M186" s="35" t="s">
        <v>592</v>
      </c>
      <c r="N186" s="90">
        <v>419.08</v>
      </c>
      <c r="O186" s="91" t="s">
        <v>602</v>
      </c>
      <c r="P186" s="91" t="s">
        <v>563</v>
      </c>
    </row>
    <row r="187" spans="1:19" x14ac:dyDescent="0.25">
      <c r="A187" s="32" t="s">
        <v>603</v>
      </c>
      <c r="B187" s="6" t="s">
        <v>155</v>
      </c>
      <c r="C187" s="6" t="s">
        <v>604</v>
      </c>
      <c r="D187" s="32" t="s">
        <v>605</v>
      </c>
      <c r="E187" s="59">
        <v>-28000</v>
      </c>
      <c r="F187" s="59">
        <v>-29813</v>
      </c>
      <c r="G187" s="59">
        <v>-25808.560000000001</v>
      </c>
      <c r="H187" s="59">
        <v>-17752.23</v>
      </c>
      <c r="I187" s="48">
        <f t="shared" si="52"/>
        <v>-13654.28</v>
      </c>
      <c r="J187" s="48">
        <f>G187-1500</f>
        <v>-27308.560000000001</v>
      </c>
      <c r="M187" s="35" t="s">
        <v>592</v>
      </c>
      <c r="N187" s="90">
        <v>419.08</v>
      </c>
      <c r="O187" s="91" t="s">
        <v>606</v>
      </c>
      <c r="P187" s="91" t="s">
        <v>563</v>
      </c>
    </row>
    <row r="188" spans="1:19" x14ac:dyDescent="0.25">
      <c r="A188" s="37" t="s">
        <v>607</v>
      </c>
      <c r="B188" s="6" t="s">
        <v>155</v>
      </c>
      <c r="C188" s="6" t="s">
        <v>608</v>
      </c>
      <c r="D188" s="37" t="s">
        <v>609</v>
      </c>
      <c r="E188" s="59">
        <v>-1000</v>
      </c>
      <c r="F188" s="59">
        <v>0</v>
      </c>
      <c r="G188" s="59">
        <v>-307.69</v>
      </c>
      <c r="H188" s="33">
        <f>-270.93+38.1+8.49</f>
        <v>-224.34</v>
      </c>
      <c r="I188" s="52">
        <f t="shared" si="52"/>
        <v>-300</v>
      </c>
      <c r="J188" s="52">
        <v>-600</v>
      </c>
      <c r="M188" s="35" t="s">
        <v>592</v>
      </c>
      <c r="N188" s="90">
        <v>419.08</v>
      </c>
      <c r="O188" s="91" t="s">
        <v>610</v>
      </c>
      <c r="P188" s="91" t="s">
        <v>563</v>
      </c>
    </row>
    <row r="189" spans="1:19" x14ac:dyDescent="0.25">
      <c r="A189" s="37"/>
      <c r="B189" s="6" t="s">
        <v>155</v>
      </c>
      <c r="C189" s="6" t="s">
        <v>611</v>
      </c>
      <c r="D189" s="32" t="s">
        <v>612</v>
      </c>
      <c r="E189" s="59">
        <v>-6000</v>
      </c>
      <c r="F189" s="33">
        <v>-4202.8599999999997</v>
      </c>
      <c r="G189" s="59">
        <v>-808.77</v>
      </c>
      <c r="H189" s="33">
        <v>-125.33</v>
      </c>
      <c r="I189" s="59">
        <f t="shared" si="52"/>
        <v>-2453.2799999999997</v>
      </c>
      <c r="J189" s="59">
        <f>-SUM(N184:N197)</f>
        <v>-4906.5599999999995</v>
      </c>
      <c r="K189" t="s">
        <v>530</v>
      </c>
      <c r="M189" s="35" t="s">
        <v>592</v>
      </c>
      <c r="N189" s="90">
        <v>419.08</v>
      </c>
      <c r="O189" s="91" t="s">
        <v>613</v>
      </c>
      <c r="P189" s="91" t="s">
        <v>563</v>
      </c>
    </row>
    <row r="190" spans="1:19" x14ac:dyDescent="0.25">
      <c r="A190" s="37"/>
      <c r="B190" s="6" t="s">
        <v>155</v>
      </c>
      <c r="C190" s="6" t="s">
        <v>614</v>
      </c>
      <c r="D190" s="32" t="s">
        <v>615</v>
      </c>
      <c r="E190" s="59">
        <v>-11520</v>
      </c>
      <c r="F190" s="33">
        <v>-13104</v>
      </c>
      <c r="G190" s="59">
        <v>-6005.76</v>
      </c>
      <c r="H190" s="59">
        <v>-4300.08</v>
      </c>
      <c r="I190" s="59">
        <f t="shared" si="52"/>
        <v>-5221.9199999999992</v>
      </c>
      <c r="J190" s="59">
        <f>-SUM(N200:N211)</f>
        <v>-10443.839999999998</v>
      </c>
      <c r="M190" s="35" t="s">
        <v>592</v>
      </c>
      <c r="N190" s="90">
        <v>419.08</v>
      </c>
      <c r="O190" s="91" t="s">
        <v>616</v>
      </c>
      <c r="P190" s="91" t="s">
        <v>563</v>
      </c>
    </row>
    <row r="191" spans="1:19" x14ac:dyDescent="0.25">
      <c r="A191" s="37"/>
      <c r="B191" s="6" t="s">
        <v>155</v>
      </c>
      <c r="C191" s="6" t="s">
        <v>617</v>
      </c>
      <c r="D191" s="32" t="s">
        <v>618</v>
      </c>
      <c r="E191" s="59">
        <v>-1080</v>
      </c>
      <c r="F191" s="59">
        <v>-1077.05</v>
      </c>
      <c r="G191" s="59">
        <v>-630</v>
      </c>
      <c r="H191" s="59">
        <v>-420</v>
      </c>
      <c r="I191" s="59">
        <f t="shared" si="52"/>
        <v>-540</v>
      </c>
      <c r="J191" s="59">
        <f>E191</f>
        <v>-1080</v>
      </c>
      <c r="M191" s="35" t="s">
        <v>592</v>
      </c>
      <c r="N191" s="90">
        <f>122</f>
        <v>122</v>
      </c>
      <c r="O191" s="91" t="s">
        <v>619</v>
      </c>
      <c r="P191" s="91" t="s">
        <v>563</v>
      </c>
    </row>
    <row r="192" spans="1:19" x14ac:dyDescent="0.25">
      <c r="A192" s="23" t="s">
        <v>620</v>
      </c>
      <c r="B192" s="24"/>
      <c r="C192" s="24"/>
      <c r="D192" s="23" t="s">
        <v>621</v>
      </c>
      <c r="E192" s="61">
        <f t="shared" ref="E192:J192" si="53">SUM(E193:E194)</f>
        <v>-16900</v>
      </c>
      <c r="F192" s="61">
        <f t="shared" si="53"/>
        <v>0</v>
      </c>
      <c r="G192" s="61">
        <f t="shared" si="53"/>
        <v>-4940</v>
      </c>
      <c r="H192" s="61">
        <f t="shared" si="53"/>
        <v>-4940</v>
      </c>
      <c r="I192" s="61">
        <f t="shared" si="53"/>
        <v>-8450</v>
      </c>
      <c r="J192" s="61">
        <f t="shared" si="53"/>
        <v>-16900</v>
      </c>
      <c r="M192" s="35" t="s">
        <v>622</v>
      </c>
      <c r="N192" s="65">
        <v>286.77999999999997</v>
      </c>
      <c r="O192" s="35" t="s">
        <v>623</v>
      </c>
      <c r="P192" s="35"/>
    </row>
    <row r="193" spans="1:16" x14ac:dyDescent="0.25">
      <c r="A193" s="37" t="s">
        <v>624</v>
      </c>
      <c r="B193" s="6" t="s">
        <v>625</v>
      </c>
      <c r="C193" s="6" t="s">
        <v>626</v>
      </c>
      <c r="D193" s="37" t="s">
        <v>627</v>
      </c>
      <c r="E193" s="59">
        <v>-7020</v>
      </c>
      <c r="F193" s="59">
        <v>0</v>
      </c>
      <c r="G193" s="59">
        <v>0</v>
      </c>
      <c r="H193" s="59">
        <v>0</v>
      </c>
      <c r="I193" s="59">
        <f>J193*0.5</f>
        <v>-3510</v>
      </c>
      <c r="J193" s="59">
        <f>E193</f>
        <v>-7020</v>
      </c>
      <c r="M193" s="35" t="s">
        <v>622</v>
      </c>
      <c r="N193" s="65">
        <f>396.66</f>
        <v>396.66</v>
      </c>
      <c r="O193" s="35" t="s">
        <v>628</v>
      </c>
      <c r="P193" s="35"/>
    </row>
    <row r="194" spans="1:16" x14ac:dyDescent="0.25">
      <c r="A194" s="32" t="s">
        <v>629</v>
      </c>
      <c r="B194" s="6" t="s">
        <v>625</v>
      </c>
      <c r="C194" s="6" t="s">
        <v>630</v>
      </c>
      <c r="D194" s="32" t="s">
        <v>631</v>
      </c>
      <c r="E194" s="33">
        <v>-9880</v>
      </c>
      <c r="F194" s="33">
        <v>0</v>
      </c>
      <c r="G194" s="33">
        <v>-4940</v>
      </c>
      <c r="H194" s="33">
        <v>-4940</v>
      </c>
      <c r="I194" s="59">
        <f>J194*0.5</f>
        <v>-4940</v>
      </c>
      <c r="J194" s="59">
        <f>E194</f>
        <v>-9880</v>
      </c>
      <c r="M194" s="35" t="s">
        <v>622</v>
      </c>
      <c r="N194" s="90">
        <f>396.66</f>
        <v>396.66</v>
      </c>
      <c r="O194" s="91" t="s">
        <v>632</v>
      </c>
      <c r="P194" s="91" t="s">
        <v>563</v>
      </c>
    </row>
    <row r="195" spans="1:16" x14ac:dyDescent="0.25">
      <c r="A195" s="20" t="s">
        <v>633</v>
      </c>
      <c r="B195" s="21"/>
      <c r="C195" s="21"/>
      <c r="D195" s="20" t="s">
        <v>634</v>
      </c>
      <c r="E195" s="71">
        <v>0</v>
      </c>
      <c r="F195" s="71">
        <v>0</v>
      </c>
      <c r="G195" s="71">
        <v>0</v>
      </c>
      <c r="H195" s="71">
        <v>0</v>
      </c>
      <c r="I195" s="71">
        <v>0</v>
      </c>
      <c r="J195" s="71">
        <v>0</v>
      </c>
      <c r="M195" s="35" t="s">
        <v>622</v>
      </c>
      <c r="N195" s="90">
        <f>396.66</f>
        <v>396.66</v>
      </c>
      <c r="O195" s="91" t="s">
        <v>635</v>
      </c>
      <c r="P195" s="91" t="s">
        <v>563</v>
      </c>
    </row>
    <row r="196" spans="1:16" x14ac:dyDescent="0.25">
      <c r="A196" s="20" t="s">
        <v>636</v>
      </c>
      <c r="B196" s="21"/>
      <c r="C196" s="21"/>
      <c r="D196" s="20" t="s">
        <v>637</v>
      </c>
      <c r="E196" s="71">
        <f t="shared" ref="E196:J196" si="54">SUM(E197:E198)</f>
        <v>-773000</v>
      </c>
      <c r="F196" s="71">
        <f t="shared" si="54"/>
        <v>0</v>
      </c>
      <c r="G196" s="71">
        <f t="shared" si="54"/>
        <v>-143163.84</v>
      </c>
      <c r="H196" s="71">
        <f t="shared" si="54"/>
        <v>0</v>
      </c>
      <c r="I196" s="71">
        <f t="shared" si="54"/>
        <v>-372000</v>
      </c>
      <c r="J196" s="71">
        <f t="shared" si="54"/>
        <v>-744000</v>
      </c>
      <c r="K196" s="105">
        <v>721239.23</v>
      </c>
      <c r="L196" s="106">
        <f>J196+K196</f>
        <v>-22760.770000000019</v>
      </c>
      <c r="M196" s="35" t="s">
        <v>622</v>
      </c>
      <c r="N196" s="90">
        <f>396.66</f>
        <v>396.66</v>
      </c>
      <c r="O196" s="91" t="s">
        <v>638</v>
      </c>
      <c r="P196" s="91" t="s">
        <v>563</v>
      </c>
    </row>
    <row r="197" spans="1:16" x14ac:dyDescent="0.25">
      <c r="A197" s="37" t="s">
        <v>639</v>
      </c>
      <c r="B197" s="6" t="s">
        <v>640</v>
      </c>
      <c r="C197" s="6" t="s">
        <v>641</v>
      </c>
      <c r="D197" s="37" t="s">
        <v>642</v>
      </c>
      <c r="E197" s="59">
        <v>-734250</v>
      </c>
      <c r="F197" s="59">
        <v>0</v>
      </c>
      <c r="G197" s="59">
        <v>-143163.84</v>
      </c>
      <c r="H197" s="59">
        <v>0</v>
      </c>
      <c r="I197" s="48">
        <f>J197*0.5</f>
        <v>-352625</v>
      </c>
      <c r="J197" s="48">
        <f>E197+29000</f>
        <v>-705250</v>
      </c>
      <c r="K197" s="49" t="s">
        <v>643</v>
      </c>
      <c r="M197" s="35" t="s">
        <v>622</v>
      </c>
      <c r="N197" s="90">
        <f>396.66</f>
        <v>396.66</v>
      </c>
      <c r="O197" s="91" t="s">
        <v>644</v>
      </c>
      <c r="P197" s="91" t="s">
        <v>563</v>
      </c>
    </row>
    <row r="198" spans="1:16" x14ac:dyDescent="0.25">
      <c r="A198" s="32" t="s">
        <v>645</v>
      </c>
      <c r="B198" s="6" t="s">
        <v>640</v>
      </c>
      <c r="C198" s="6" t="s">
        <v>646</v>
      </c>
      <c r="D198" s="32" t="s">
        <v>647</v>
      </c>
      <c r="E198" s="59">
        <v>-38750</v>
      </c>
      <c r="F198" s="59">
        <v>0</v>
      </c>
      <c r="G198" s="59">
        <v>0</v>
      </c>
      <c r="H198" s="59">
        <v>0</v>
      </c>
      <c r="I198" s="48">
        <f>J198*0.5</f>
        <v>-19375</v>
      </c>
      <c r="J198" s="48">
        <f>E198</f>
        <v>-38750</v>
      </c>
    </row>
    <row r="199" spans="1:16" x14ac:dyDescent="0.25">
      <c r="A199" s="20" t="s">
        <v>648</v>
      </c>
      <c r="B199" s="21"/>
      <c r="C199" s="21"/>
      <c r="D199" s="20" t="s">
        <v>649</v>
      </c>
      <c r="E199" s="107">
        <f t="shared" ref="E199:J199" si="55">SUM(E200:E203)</f>
        <v>-219180.34000000003</v>
      </c>
      <c r="F199" s="107">
        <f t="shared" si="55"/>
        <v>-296102.46000000002</v>
      </c>
      <c r="G199" s="107">
        <f t="shared" si="55"/>
        <v>-138657.65</v>
      </c>
      <c r="H199" s="107">
        <f t="shared" si="55"/>
        <v>-137958.15</v>
      </c>
      <c r="I199" s="107">
        <f t="shared" si="55"/>
        <v>-101088.265</v>
      </c>
      <c r="J199" s="107">
        <f t="shared" si="55"/>
        <v>-202176.53</v>
      </c>
      <c r="M199" s="101" t="s">
        <v>650</v>
      </c>
      <c r="N199" s="102"/>
      <c r="O199" s="103"/>
    </row>
    <row r="200" spans="1:16" x14ac:dyDescent="0.25">
      <c r="A200" s="32" t="s">
        <v>651</v>
      </c>
      <c r="B200" s="62" t="s">
        <v>652</v>
      </c>
      <c r="C200" s="6" t="s">
        <v>653</v>
      </c>
      <c r="D200" s="32" t="s">
        <v>654</v>
      </c>
      <c r="E200" s="59">
        <f>-3991.86-9000</f>
        <v>-12991.86</v>
      </c>
      <c r="F200" s="59">
        <v>-2297.52</v>
      </c>
      <c r="G200" s="59">
        <v>-2266.3200000000002</v>
      </c>
      <c r="H200" s="59">
        <v>-2266.3200000000002</v>
      </c>
      <c r="I200" s="33">
        <f>J200*0.5</f>
        <v>-10447.975</v>
      </c>
      <c r="J200" s="33">
        <v>-20895.95</v>
      </c>
      <c r="M200" s="35" t="s">
        <v>655</v>
      </c>
      <c r="N200" s="65">
        <v>828</v>
      </c>
      <c r="O200" s="35" t="s">
        <v>656</v>
      </c>
      <c r="P200" s="35"/>
    </row>
    <row r="201" spans="1:16" x14ac:dyDescent="0.25">
      <c r="A201" s="37" t="s">
        <v>657</v>
      </c>
      <c r="B201" s="62" t="s">
        <v>652</v>
      </c>
      <c r="C201" s="6" t="s">
        <v>658</v>
      </c>
      <c r="D201" s="37" t="s">
        <v>659</v>
      </c>
      <c r="E201" s="59">
        <v>-206188.48</v>
      </c>
      <c r="F201" s="59">
        <v>-293804.94</v>
      </c>
      <c r="G201" s="59">
        <v>-136391.32999999999</v>
      </c>
      <c r="H201" s="59">
        <v>-135691.82999999999</v>
      </c>
      <c r="I201" s="33">
        <f>J201*0.5</f>
        <v>-90640.29</v>
      </c>
      <c r="J201" s="33">
        <v>-181280.58</v>
      </c>
      <c r="M201" s="35" t="s">
        <v>655</v>
      </c>
      <c r="N201" s="65">
        <v>850.08</v>
      </c>
      <c r="O201" s="35" t="s">
        <v>660</v>
      </c>
      <c r="P201" s="35"/>
    </row>
    <row r="202" spans="1:16" x14ac:dyDescent="0.25">
      <c r="A202" s="32" t="s">
        <v>661</v>
      </c>
      <c r="B202" s="62" t="s">
        <v>652</v>
      </c>
      <c r="C202" s="6" t="s">
        <v>662</v>
      </c>
      <c r="D202" s="32" t="s">
        <v>663</v>
      </c>
      <c r="E202" s="108"/>
      <c r="F202" s="108"/>
      <c r="G202" s="108"/>
      <c r="H202" s="108"/>
      <c r="I202" s="108"/>
      <c r="J202" s="108"/>
      <c r="M202" s="35" t="s">
        <v>655</v>
      </c>
      <c r="N202" s="65">
        <v>1092.96</v>
      </c>
      <c r="O202" s="35" t="s">
        <v>664</v>
      </c>
      <c r="P202" s="35"/>
    </row>
    <row r="203" spans="1:16" x14ac:dyDescent="0.25">
      <c r="A203" s="37" t="s">
        <v>665</v>
      </c>
      <c r="B203" s="62" t="s">
        <v>652</v>
      </c>
      <c r="C203" s="6" t="s">
        <v>666</v>
      </c>
      <c r="D203" s="37" t="s">
        <v>667</v>
      </c>
      <c r="E203" s="108"/>
      <c r="F203" s="108"/>
      <c r="G203" s="108"/>
      <c r="H203" s="108"/>
      <c r="I203" s="108"/>
      <c r="J203" s="108"/>
      <c r="M203" s="35" t="s">
        <v>655</v>
      </c>
      <c r="N203" s="65">
        <v>739.68</v>
      </c>
      <c r="O203" s="35" t="s">
        <v>668</v>
      </c>
      <c r="P203" s="35"/>
    </row>
    <row r="204" spans="1:16" x14ac:dyDescent="0.25">
      <c r="A204" s="20" t="s">
        <v>669</v>
      </c>
      <c r="B204" s="21"/>
      <c r="C204" s="21"/>
      <c r="D204" s="20" t="s">
        <v>670</v>
      </c>
      <c r="E204" s="71">
        <v>0</v>
      </c>
      <c r="F204" s="71">
        <v>0</v>
      </c>
      <c r="G204" s="71">
        <v>0</v>
      </c>
      <c r="H204" s="71">
        <v>0</v>
      </c>
      <c r="I204" s="71">
        <v>0</v>
      </c>
      <c r="J204" s="71">
        <v>0</v>
      </c>
      <c r="M204" s="35" t="s">
        <v>655</v>
      </c>
      <c r="N204" s="65">
        <v>789.36</v>
      </c>
      <c r="O204" s="35" t="s">
        <v>671</v>
      </c>
      <c r="P204" s="35"/>
    </row>
    <row r="205" spans="1:16" x14ac:dyDescent="0.25">
      <c r="A205" s="20" t="s">
        <v>672</v>
      </c>
      <c r="B205" s="21"/>
      <c r="C205" s="21"/>
      <c r="D205" s="20" t="s">
        <v>673</v>
      </c>
      <c r="E205" s="71">
        <v>0</v>
      </c>
      <c r="F205" s="71">
        <v>0</v>
      </c>
      <c r="G205" s="71">
        <v>0</v>
      </c>
      <c r="H205" s="71">
        <v>0</v>
      </c>
      <c r="I205" s="71">
        <v>0</v>
      </c>
      <c r="J205" s="71">
        <v>0</v>
      </c>
      <c r="M205" s="35" t="s">
        <v>655</v>
      </c>
      <c r="N205" s="65">
        <v>927.36</v>
      </c>
      <c r="O205" s="35" t="s">
        <v>674</v>
      </c>
      <c r="P205" s="35"/>
    </row>
    <row r="206" spans="1:16" x14ac:dyDescent="0.25">
      <c r="A206" s="20" t="s">
        <v>675</v>
      </c>
      <c r="B206" s="21"/>
      <c r="C206" s="21"/>
      <c r="D206" s="20" t="s">
        <v>676</v>
      </c>
      <c r="E206" s="71">
        <v>0</v>
      </c>
      <c r="F206" s="71">
        <v>0</v>
      </c>
      <c r="G206" s="71">
        <v>0</v>
      </c>
      <c r="H206" s="71">
        <v>0</v>
      </c>
      <c r="I206" s="71">
        <v>0</v>
      </c>
      <c r="J206" s="71">
        <v>0</v>
      </c>
      <c r="M206" s="35" t="s">
        <v>655</v>
      </c>
      <c r="N206" s="65">
        <v>778.32</v>
      </c>
      <c r="O206" s="35" t="s">
        <v>677</v>
      </c>
      <c r="P206" s="35"/>
    </row>
    <row r="207" spans="1:16" x14ac:dyDescent="0.25">
      <c r="A207" s="20" t="s">
        <v>678</v>
      </c>
      <c r="B207" s="21"/>
      <c r="C207" s="21"/>
      <c r="D207" s="20" t="s">
        <v>679</v>
      </c>
      <c r="E207" s="71">
        <f t="shared" ref="E207:J207" si="56">SUM(E208:E214)</f>
        <v>-5000</v>
      </c>
      <c r="F207" s="71">
        <f t="shared" si="56"/>
        <v>0</v>
      </c>
      <c r="G207" s="71">
        <f t="shared" si="56"/>
        <v>-206.79</v>
      </c>
      <c r="H207" s="71">
        <f t="shared" si="56"/>
        <v>-1514.43</v>
      </c>
      <c r="I207" s="71">
        <f t="shared" si="56"/>
        <v>-3308.25</v>
      </c>
      <c r="J207" s="71">
        <f t="shared" si="56"/>
        <v>-6616.4800000000005</v>
      </c>
      <c r="M207" s="35" t="s">
        <v>655</v>
      </c>
      <c r="N207" s="90">
        <v>712.08</v>
      </c>
      <c r="O207" s="91" t="s">
        <v>680</v>
      </c>
      <c r="P207" s="91" t="s">
        <v>563</v>
      </c>
    </row>
    <row r="208" spans="1:16" x14ac:dyDescent="0.25">
      <c r="A208" s="32" t="s">
        <v>681</v>
      </c>
      <c r="B208" s="62" t="s">
        <v>155</v>
      </c>
      <c r="C208" s="6" t="s">
        <v>682</v>
      </c>
      <c r="D208" s="32" t="s">
        <v>683</v>
      </c>
      <c r="E208" s="33"/>
      <c r="F208" s="33">
        <v>0</v>
      </c>
      <c r="G208" s="33">
        <v>0</v>
      </c>
      <c r="H208" s="33">
        <v>-0.02</v>
      </c>
      <c r="I208" s="33">
        <v>-0.02</v>
      </c>
      <c r="J208" s="33">
        <v>-0.02</v>
      </c>
      <c r="M208" s="35" t="s">
        <v>655</v>
      </c>
      <c r="N208" s="90">
        <v>1026.72</v>
      </c>
      <c r="O208" s="91" t="s">
        <v>684</v>
      </c>
      <c r="P208" s="91" t="s">
        <v>563</v>
      </c>
    </row>
    <row r="209" spans="1:16" x14ac:dyDescent="0.25">
      <c r="A209" s="37" t="s">
        <v>685</v>
      </c>
      <c r="B209" s="62" t="s">
        <v>155</v>
      </c>
      <c r="C209" s="6" t="s">
        <v>686</v>
      </c>
      <c r="D209" s="37" t="s">
        <v>687</v>
      </c>
      <c r="E209" s="59"/>
      <c r="F209" s="59">
        <v>0</v>
      </c>
      <c r="G209" s="59">
        <v>-13.32</v>
      </c>
      <c r="H209" s="59">
        <f>-13.32-471.16</f>
        <v>-484.48</v>
      </c>
      <c r="I209" s="33">
        <f>J209/2</f>
        <v>-300</v>
      </c>
      <c r="J209" s="33">
        <v>-600</v>
      </c>
      <c r="M209" s="35" t="s">
        <v>655</v>
      </c>
      <c r="N209" s="90">
        <v>977.04</v>
      </c>
      <c r="O209" s="91" t="s">
        <v>688</v>
      </c>
      <c r="P209" s="91" t="s">
        <v>563</v>
      </c>
    </row>
    <row r="210" spans="1:16" x14ac:dyDescent="0.25">
      <c r="A210" s="32" t="s">
        <v>689</v>
      </c>
      <c r="B210" s="62" t="s">
        <v>155</v>
      </c>
      <c r="C210" s="6" t="s">
        <v>690</v>
      </c>
      <c r="D210" s="32" t="s">
        <v>691</v>
      </c>
      <c r="E210" s="33">
        <v>-4000</v>
      </c>
      <c r="F210" s="33">
        <v>0</v>
      </c>
      <c r="G210" s="33"/>
      <c r="H210" s="33">
        <v>-320</v>
      </c>
      <c r="I210" s="33">
        <f>J210*0.5</f>
        <v>-2000</v>
      </c>
      <c r="J210" s="33">
        <f>E210</f>
        <v>-4000</v>
      </c>
      <c r="M210" s="35" t="s">
        <v>655</v>
      </c>
      <c r="N210" s="90">
        <v>805.92</v>
      </c>
      <c r="O210" s="91" t="s">
        <v>692</v>
      </c>
      <c r="P210" s="91" t="s">
        <v>563</v>
      </c>
    </row>
    <row r="211" spans="1:16" x14ac:dyDescent="0.25">
      <c r="A211" s="37" t="s">
        <v>693</v>
      </c>
      <c r="B211" s="62" t="s">
        <v>155</v>
      </c>
      <c r="C211" s="6" t="s">
        <v>694</v>
      </c>
      <c r="D211" s="37" t="s">
        <v>695</v>
      </c>
      <c r="E211" s="59"/>
      <c r="F211" s="59">
        <v>0</v>
      </c>
      <c r="G211" s="59">
        <v>0</v>
      </c>
      <c r="H211" s="59">
        <v>-516.46</v>
      </c>
      <c r="I211" s="33">
        <f>J211*0.5</f>
        <v>-258.23</v>
      </c>
      <c r="J211" s="33">
        <v>-516.46</v>
      </c>
      <c r="M211" s="35" t="s">
        <v>655</v>
      </c>
      <c r="N211" s="90">
        <v>916.32</v>
      </c>
      <c r="O211" s="91" t="s">
        <v>696</v>
      </c>
      <c r="P211" s="91" t="s">
        <v>563</v>
      </c>
    </row>
    <row r="212" spans="1:16" x14ac:dyDescent="0.25">
      <c r="A212" s="32" t="s">
        <v>697</v>
      </c>
      <c r="B212" s="62" t="s">
        <v>155</v>
      </c>
      <c r="C212" s="6" t="s">
        <v>698</v>
      </c>
      <c r="D212" s="32" t="s">
        <v>699</v>
      </c>
      <c r="E212" s="33">
        <v>-1000</v>
      </c>
      <c r="F212" s="33">
        <v>0</v>
      </c>
      <c r="G212" s="33">
        <v>-193.47</v>
      </c>
      <c r="H212" s="33">
        <v>-193.47</v>
      </c>
      <c r="I212" s="33">
        <f>J212*0.5</f>
        <v>-750</v>
      </c>
      <c r="J212" s="33">
        <v>-1500</v>
      </c>
    </row>
    <row r="213" spans="1:16" x14ac:dyDescent="0.25">
      <c r="A213" s="37" t="s">
        <v>700</v>
      </c>
      <c r="B213" s="62" t="s">
        <v>155</v>
      </c>
      <c r="C213" s="6" t="s">
        <v>701</v>
      </c>
      <c r="D213" s="37" t="s">
        <v>702</v>
      </c>
      <c r="E213" s="59"/>
      <c r="F213" s="59">
        <v>0</v>
      </c>
      <c r="G213" s="59">
        <v>0</v>
      </c>
      <c r="H213" s="59">
        <v>0</v>
      </c>
      <c r="I213" s="33"/>
      <c r="J213" s="33"/>
    </row>
    <row r="214" spans="1:16" x14ac:dyDescent="0.25">
      <c r="A214" s="32" t="s">
        <v>703</v>
      </c>
      <c r="B214" s="62" t="s">
        <v>155</v>
      </c>
      <c r="C214" s="6" t="s">
        <v>704</v>
      </c>
      <c r="D214" s="32" t="s">
        <v>705</v>
      </c>
      <c r="E214" s="33"/>
      <c r="F214" s="33">
        <v>0</v>
      </c>
      <c r="G214" s="33">
        <v>0</v>
      </c>
      <c r="H214" s="33">
        <v>0</v>
      </c>
      <c r="I214" s="33"/>
      <c r="J214" s="33"/>
    </row>
    <row r="215" spans="1:16" x14ac:dyDescent="0.25">
      <c r="A215" s="109" t="s">
        <v>706</v>
      </c>
      <c r="B215" s="110"/>
      <c r="C215" s="110"/>
      <c r="D215" s="109" t="s">
        <v>707</v>
      </c>
      <c r="E215" s="111">
        <f t="shared" ref="E215:J215" si="57">E5+E98</f>
        <v>148013.03761748644</v>
      </c>
      <c r="F215" s="111">
        <f t="shared" si="57"/>
        <v>780029.23000000045</v>
      </c>
      <c r="G215" s="111">
        <f t="shared" si="57"/>
        <v>555360.5</v>
      </c>
      <c r="H215" s="111">
        <f t="shared" si="57"/>
        <v>490528.20000000013</v>
      </c>
      <c r="I215" s="111">
        <f t="shared" si="57"/>
        <v>64964.937961538555</v>
      </c>
      <c r="J215" s="111">
        <f t="shared" si="57"/>
        <v>61331.855923077092</v>
      </c>
    </row>
    <row r="216" spans="1:16" x14ac:dyDescent="0.25">
      <c r="A216" s="17" t="s">
        <v>708</v>
      </c>
      <c r="B216" s="18"/>
      <c r="C216" s="18"/>
      <c r="D216" s="17" t="s">
        <v>709</v>
      </c>
      <c r="E216" s="72">
        <f t="shared" ref="E216:J217" si="58">E217</f>
        <v>0</v>
      </c>
      <c r="F216" s="72">
        <f t="shared" si="58"/>
        <v>0</v>
      </c>
      <c r="G216" s="72">
        <f t="shared" si="58"/>
        <v>0</v>
      </c>
      <c r="H216" s="72">
        <f t="shared" si="58"/>
        <v>5282.76</v>
      </c>
      <c r="I216" s="72">
        <f t="shared" si="58"/>
        <v>5282.76</v>
      </c>
      <c r="J216" s="72">
        <f t="shared" si="58"/>
        <v>15282.76</v>
      </c>
    </row>
    <row r="217" spans="1:16" x14ac:dyDescent="0.25">
      <c r="A217" s="20" t="s">
        <v>710</v>
      </c>
      <c r="B217" s="21"/>
      <c r="C217" s="21"/>
      <c r="D217" s="20" t="s">
        <v>711</v>
      </c>
      <c r="E217" s="71">
        <f t="shared" si="58"/>
        <v>0</v>
      </c>
      <c r="F217" s="71">
        <f t="shared" si="58"/>
        <v>0</v>
      </c>
      <c r="G217" s="71">
        <f t="shared" si="58"/>
        <v>0</v>
      </c>
      <c r="H217" s="71">
        <f t="shared" si="58"/>
        <v>5282.76</v>
      </c>
      <c r="I217" s="71">
        <f t="shared" si="58"/>
        <v>5282.76</v>
      </c>
      <c r="J217" s="71">
        <f t="shared" si="58"/>
        <v>15282.76</v>
      </c>
    </row>
    <row r="218" spans="1:16" x14ac:dyDescent="0.25">
      <c r="A218" s="32" t="s">
        <v>712</v>
      </c>
      <c r="B218" s="6" t="s">
        <v>713</v>
      </c>
      <c r="C218" s="6" t="s">
        <v>714</v>
      </c>
      <c r="D218" s="32" t="s">
        <v>715</v>
      </c>
      <c r="E218" s="33"/>
      <c r="F218" s="33">
        <v>0</v>
      </c>
      <c r="G218" s="33">
        <v>0</v>
      </c>
      <c r="H218" s="33">
        <f>4.3+5278.46</f>
        <v>5282.76</v>
      </c>
      <c r="I218" s="33">
        <f>4.3+5278.46</f>
        <v>5282.76</v>
      </c>
      <c r="J218" s="33">
        <f>I218+10000</f>
        <v>15282.76</v>
      </c>
    </row>
    <row r="219" spans="1:16" x14ac:dyDescent="0.25">
      <c r="A219" s="109" t="s">
        <v>716</v>
      </c>
      <c r="B219" s="110"/>
      <c r="C219" s="110"/>
      <c r="D219" s="109" t="s">
        <v>717</v>
      </c>
      <c r="E219" s="112">
        <f t="shared" ref="E219:J219" si="59">E215+E216</f>
        <v>148013.03761748644</v>
      </c>
      <c r="F219" s="112">
        <f t="shared" si="59"/>
        <v>780029.23000000045</v>
      </c>
      <c r="G219" s="112">
        <f t="shared" si="59"/>
        <v>555360.5</v>
      </c>
      <c r="H219" s="112">
        <f t="shared" si="59"/>
        <v>495810.96000000014</v>
      </c>
      <c r="I219" s="112">
        <f t="shared" si="59"/>
        <v>70247.69796153855</v>
      </c>
      <c r="J219" s="112">
        <f t="shared" si="59"/>
        <v>76614.615923077086</v>
      </c>
    </row>
    <row r="220" spans="1:16" x14ac:dyDescent="0.25">
      <c r="A220" s="20" t="s">
        <v>718</v>
      </c>
      <c r="B220" s="21"/>
      <c r="C220" s="21"/>
      <c r="D220" s="20" t="s">
        <v>719</v>
      </c>
      <c r="E220" s="113">
        <f t="shared" ref="E220:J220" si="60">E221</f>
        <v>-39963.520156721337</v>
      </c>
      <c r="F220" s="113">
        <f t="shared" si="60"/>
        <v>-210607.89210000014</v>
      </c>
      <c r="G220" s="113">
        <f t="shared" si="60"/>
        <v>-149947.33500000002</v>
      </c>
      <c r="H220" s="113">
        <f t="shared" si="60"/>
        <v>-133868.95920000004</v>
      </c>
      <c r="I220" s="113">
        <f t="shared" si="60"/>
        <v>-18966.878449615411</v>
      </c>
      <c r="J220" s="113">
        <f t="shared" si="60"/>
        <v>-20685.946299230814</v>
      </c>
    </row>
    <row r="221" spans="1:16" x14ac:dyDescent="0.25">
      <c r="A221" s="37" t="s">
        <v>720</v>
      </c>
      <c r="B221" s="6" t="s">
        <v>652</v>
      </c>
      <c r="C221" s="6" t="s">
        <v>721</v>
      </c>
      <c r="D221" s="37" t="s">
        <v>719</v>
      </c>
      <c r="E221" s="114">
        <f t="shared" ref="E221:J221" si="61">-E219*0.27</f>
        <v>-39963.520156721337</v>
      </c>
      <c r="F221" s="114">
        <f t="shared" si="61"/>
        <v>-210607.89210000014</v>
      </c>
      <c r="G221" s="114">
        <f t="shared" si="61"/>
        <v>-149947.33500000002</v>
      </c>
      <c r="H221" s="114">
        <f t="shared" si="61"/>
        <v>-133868.95920000004</v>
      </c>
      <c r="I221" s="114">
        <f t="shared" si="61"/>
        <v>-18966.878449615411</v>
      </c>
      <c r="J221" s="114">
        <f t="shared" si="61"/>
        <v>-20685.946299230814</v>
      </c>
    </row>
    <row r="222" spans="1:16" x14ac:dyDescent="0.25">
      <c r="A222" s="115" t="s">
        <v>722</v>
      </c>
      <c r="B222" s="116"/>
      <c r="C222" s="116"/>
      <c r="D222" s="115" t="s">
        <v>723</v>
      </c>
      <c r="E222" s="117">
        <f t="shared" ref="E222:J222" si="62">E219+E220</f>
        <v>108049.5174607651</v>
      </c>
      <c r="F222" s="117">
        <f t="shared" si="62"/>
        <v>569421.33790000028</v>
      </c>
      <c r="G222" s="117">
        <f t="shared" si="62"/>
        <v>405413.16499999998</v>
      </c>
      <c r="H222" s="117">
        <f t="shared" si="62"/>
        <v>361942.0008000001</v>
      </c>
      <c r="I222" s="117">
        <f t="shared" si="62"/>
        <v>51280.819511923139</v>
      </c>
      <c r="J222" s="117">
        <f t="shared" si="62"/>
        <v>55928.669623846275</v>
      </c>
    </row>
    <row r="230" spans="7:7" x14ac:dyDescent="0.25">
      <c r="G230">
        <f>199.69-8.22</f>
        <v>191.47</v>
      </c>
    </row>
  </sheetData>
  <mergeCells count="22">
    <mergeCell ref="A1:D1"/>
    <mergeCell ref="M7:Q7"/>
    <mergeCell ref="Q9:Q15"/>
    <mergeCell ref="Q16:Q18"/>
    <mergeCell ref="M21:Q21"/>
    <mergeCell ref="M25:Q25"/>
    <mergeCell ref="Q27:Q36"/>
    <mergeCell ref="V27:V36"/>
    <mergeCell ref="Q37:Q38"/>
    <mergeCell ref="R37:R38"/>
    <mergeCell ref="S37:S38"/>
    <mergeCell ref="T37:T38"/>
    <mergeCell ref="V37:V38"/>
    <mergeCell ref="V41:V43"/>
    <mergeCell ref="M53:O53"/>
    <mergeCell ref="M56:O59"/>
    <mergeCell ref="L102:L131"/>
    <mergeCell ref="M39:Q39"/>
    <mergeCell ref="Q41:Q43"/>
    <mergeCell ref="R41:R43"/>
    <mergeCell ref="S41:S43"/>
    <mergeCell ref="T41:T43"/>
  </mergeCells>
  <pageMargins left="0.23611111111111099" right="0.23611111111111099" top="0.39374999999999999" bottom="0.35416666666666702" header="0.511811023622047" footer="0.511811023622047"/>
  <pageSetup paperSize="8" fitToHeight="0" orientation="landscape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06230-F1A7-4445-95E9-59B044B1CA84}">
  <sheetPr codeName="Foglio4"/>
  <dimension ref="A1:L30"/>
  <sheetViews>
    <sheetView workbookViewId="0">
      <selection activeCell="D29" sqref="D29"/>
    </sheetView>
  </sheetViews>
  <sheetFormatPr defaultColWidth="30.28515625" defaultRowHeight="15" x14ac:dyDescent="0.25"/>
  <cols>
    <col min="2" max="3" width="20.5703125" customWidth="1"/>
    <col min="4" max="6" width="16.5703125" customWidth="1"/>
    <col min="7" max="11" width="12" customWidth="1"/>
  </cols>
  <sheetData>
    <row r="1" spans="1:12" ht="15.75" x14ac:dyDescent="0.25">
      <c r="B1" s="220" t="s">
        <v>811</v>
      </c>
      <c r="C1" s="220" t="s">
        <v>812</v>
      </c>
      <c r="D1" s="220" t="s">
        <v>813</v>
      </c>
      <c r="E1" s="220" t="s">
        <v>854</v>
      </c>
      <c r="F1" s="220" t="s">
        <v>855</v>
      </c>
      <c r="G1" s="220">
        <v>2024</v>
      </c>
      <c r="H1" s="220">
        <v>2023</v>
      </c>
      <c r="I1" s="220">
        <v>2022</v>
      </c>
      <c r="J1" s="220">
        <v>2021</v>
      </c>
      <c r="K1" s="220">
        <v>2020</v>
      </c>
      <c r="L1" s="219"/>
    </row>
    <row r="2" spans="1:12" x14ac:dyDescent="0.25">
      <c r="A2" s="218" t="s">
        <v>810</v>
      </c>
      <c r="B2" s="223">
        <f t="shared" ref="B2:H2" si="0">SUM(B3:B8)</f>
        <v>3639799.3112732242</v>
      </c>
      <c r="C2" s="224">
        <f t="shared" si="0"/>
        <v>3020015.1379230767</v>
      </c>
      <c r="D2" s="224">
        <f>SUM(D3:D8)</f>
        <v>2849210.8936284101</v>
      </c>
      <c r="E2" s="224">
        <f>SUM(E3:E8)</f>
        <v>2030178.12</v>
      </c>
      <c r="F2" s="224">
        <f>SUM(F3:F8)</f>
        <v>1893889.6700000002</v>
      </c>
      <c r="G2" s="221">
        <f t="shared" si="0"/>
        <v>1</v>
      </c>
      <c r="H2" s="221">
        <f t="shared" si="0"/>
        <v>1</v>
      </c>
      <c r="I2" s="221">
        <f>SUM(I3:I8)</f>
        <v>1</v>
      </c>
      <c r="J2" s="221">
        <f t="shared" ref="J2" si="1">SUM(J3:J8)</f>
        <v>1</v>
      </c>
      <c r="K2" s="221">
        <f>SUM(K3:K8)</f>
        <v>1</v>
      </c>
    </row>
    <row r="3" spans="1:12" x14ac:dyDescent="0.25">
      <c r="A3" s="228" t="s">
        <v>804</v>
      </c>
      <c r="B3" s="229">
        <f>'CE REV 1 - POST SEMESTRALE'!N7+'CE REV 1 - POST SEMESTRALE'!N51+'CE REV 1 - POST SEMESTRALE'!N55+'CE REV 1 - POST SEMESTRALE'!N60+'CE REV 1 - POST SEMESTRALE'!N90+'CE REV 1 - POST SEMESTRALE'!N178*-1</f>
        <v>3075124.6896065576</v>
      </c>
      <c r="C3" s="230">
        <f>'CE REV 1 - POST SEMESTRALE'!L8+'CE REV 1 - POST SEMESTRALE'!L11+'CE REV 1 - POST SEMESTRALE'!L21+'CE REV 1 - POST SEMESTRALE'!L40+'CE REV 1 - POST SEMESTRALE'!L43+'CE REV 1 - POST SEMESTRALE'!L49+'CE REV 1 - POST SEMESTRALE'!L51+'CE REV 1 - POST SEMESTRALE'!L55+'CE REV 1 - POST SEMESTRALE'!L60-'CE REV 1 - POST SEMESTRALE'!L178</f>
        <v>2670632.6009999998</v>
      </c>
      <c r="D3" s="230">
        <f>SUM(D18:D23)</f>
        <v>2489456.8936284101</v>
      </c>
      <c r="E3" s="230">
        <f>SUM(E18:E23)</f>
        <v>1744548.4600000002</v>
      </c>
      <c r="F3" s="230">
        <f>SUM(F18:F23)</f>
        <v>1577044.8800000001</v>
      </c>
      <c r="G3" s="231">
        <f>B3/B2</f>
        <v>0.84486105596048922</v>
      </c>
      <c r="H3" s="231">
        <f>C3/$C$2</f>
        <v>0.88431099813514369</v>
      </c>
      <c r="I3" s="231">
        <f t="shared" ref="I3:I8" si="2">D3/$D$2</f>
        <v>0.87373556629152827</v>
      </c>
      <c r="J3" s="231">
        <f t="shared" ref="J3:J8" si="3">E3/$E$2</f>
        <v>0.85930807883990001</v>
      </c>
      <c r="K3" s="231">
        <f t="shared" ref="K3:K8" si="4">F3/$F$2</f>
        <v>0.83270155858656747</v>
      </c>
    </row>
    <row r="4" spans="1:12" x14ac:dyDescent="0.25">
      <c r="A4" s="35" t="s">
        <v>806</v>
      </c>
      <c r="B4" s="225">
        <f>'CE REV 1 - POST SEMESTRALE'!N78+'CE REV 1 - POST SEMESTRALE'!N81+'CE REV 1 - POST SEMESTRALE'!N94+'CE REV 1 - POST SEMESTRALE'!N96</f>
        <v>291521.04499999998</v>
      </c>
      <c r="C4" s="226">
        <f>'CE REV 1 - POST SEMESTRALE'!L78+'CE REV 1 - POST SEMESTRALE'!L81</f>
        <v>4967</v>
      </c>
      <c r="D4" s="226">
        <v>5812</v>
      </c>
      <c r="E4" s="226">
        <f>E27</f>
        <v>2377</v>
      </c>
      <c r="F4" s="226">
        <f>F27</f>
        <v>1690</v>
      </c>
      <c r="G4" s="222">
        <f>B4/B2</f>
        <v>8.0092615023333286E-2</v>
      </c>
      <c r="H4" s="222">
        <f t="shared" ref="H4:H8" si="5">C4/$C$2</f>
        <v>1.6446937426333242E-3</v>
      </c>
      <c r="I4" s="222">
        <f t="shared" si="2"/>
        <v>2.039863041727508E-3</v>
      </c>
      <c r="J4" s="222">
        <f t="shared" si="3"/>
        <v>1.1708332271850117E-3</v>
      </c>
      <c r="K4" s="222">
        <f t="shared" si="4"/>
        <v>8.9234342779851577E-4</v>
      </c>
    </row>
    <row r="5" spans="1:12" x14ac:dyDescent="0.25">
      <c r="A5" s="35" t="s">
        <v>808</v>
      </c>
      <c r="B5" s="225">
        <f>'CE REV 1 - POST SEMESTRALE'!N102+'CE REV 1 - POST SEMESTRALE'!N178</f>
        <v>174141.40999999995</v>
      </c>
      <c r="C5" s="226">
        <f>'CE REV 1 - POST SEMESTRALE'!L102+'CE REV 1 - POST SEMESTRALE'!L178</f>
        <v>169379.57999999993</v>
      </c>
      <c r="D5" s="226">
        <v>252807.17</v>
      </c>
      <c r="E5" s="226">
        <f>E24</f>
        <v>183374.24</v>
      </c>
      <c r="F5" s="226">
        <f>F24</f>
        <v>196343.32</v>
      </c>
      <c r="G5" s="222">
        <f>B5/B2</f>
        <v>4.7843684529706727E-2</v>
      </c>
      <c r="H5" s="222">
        <f t="shared" si="5"/>
        <v>5.6085672509736346E-2</v>
      </c>
      <c r="I5" s="222">
        <f t="shared" si="2"/>
        <v>8.8728837365231114E-2</v>
      </c>
      <c r="J5" s="222">
        <f t="shared" si="3"/>
        <v>9.032421253756788E-2</v>
      </c>
      <c r="K5" s="222">
        <f t="shared" si="4"/>
        <v>0.10367199478943248</v>
      </c>
    </row>
    <row r="6" spans="1:12" x14ac:dyDescent="0.25">
      <c r="A6" s="35" t="s">
        <v>805</v>
      </c>
      <c r="B6" s="225">
        <f>'CE REV 1 - POST SEMESTRALE'!N71+'CE REV 1 - POST SEMESTRALE'!N84</f>
        <v>38949.5</v>
      </c>
      <c r="C6" s="226">
        <f>'CE REV 1 - POST SEMESTRALE'!L84</f>
        <v>42233.32</v>
      </c>
      <c r="D6" s="226"/>
      <c r="E6" s="226"/>
      <c r="F6" s="226"/>
      <c r="G6" s="222">
        <f>B6/B2</f>
        <v>1.0701002079802917E-2</v>
      </c>
      <c r="H6" s="222">
        <f t="shared" si="5"/>
        <v>1.3984472948385509E-2</v>
      </c>
      <c r="I6" s="222">
        <f t="shared" si="2"/>
        <v>0</v>
      </c>
      <c r="J6" s="222">
        <f t="shared" si="3"/>
        <v>0</v>
      </c>
      <c r="K6" s="222">
        <f t="shared" si="4"/>
        <v>0</v>
      </c>
    </row>
    <row r="7" spans="1:12" x14ac:dyDescent="0.25">
      <c r="A7" s="35" t="s">
        <v>807</v>
      </c>
      <c r="B7" s="225">
        <f>'CE REV 1 - POST SEMESTRALE'!N74+'CE REV 1 - POST SEMESTRALE'!N75+'CE REV 1 - POST SEMESTRALE'!N76+'CE REV 1 - POST SEMESTRALE'!N82+'CE REV 1 - POST SEMESTRALE'!N85</f>
        <v>30896</v>
      </c>
      <c r="C7" s="226">
        <f>'CE REV 1 - POST SEMESTRALE'!L117+'CE REV 1 - POST SEMESTRALE'!L85+'CE REV 1 - POST SEMESTRALE'!L86+'CE REV 1 - POST SEMESTRALE'!L87+'CE REV 1 - POST SEMESTRALE'!L74+'CE REV 1 - POST SEMESTRALE'!L75+'CE REV 1 - POST SEMESTRALE'!L76+'CE REV 1 - POST SEMESTRALE'!L77+'CE REV 1 - POST SEMESTRALE'!L79+'CE REV 1 - POST SEMESTRALE'!L80+'CE REV 1 - POST SEMESTRALE'!L82+'CE REV 1 - POST SEMESTRALE'!L83+'CE REV 1 - POST SEMESTRALE'!L71</f>
        <v>132802.63692307693</v>
      </c>
      <c r="D7" s="226">
        <v>101134.82999999999</v>
      </c>
      <c r="E7" s="226">
        <f>E26+E28+E29</f>
        <v>99878.42</v>
      </c>
      <c r="F7" s="226">
        <f>F26+F28+F29</f>
        <v>118811.47</v>
      </c>
      <c r="G7" s="222">
        <f>B7/B2</f>
        <v>8.4883800885143836E-3</v>
      </c>
      <c r="H7" s="222">
        <f>C7/$C$2</f>
        <v>4.3974162664101049E-2</v>
      </c>
      <c r="I7" s="222">
        <f t="shared" si="2"/>
        <v>3.5495733301513149E-2</v>
      </c>
      <c r="J7" s="222">
        <f t="shared" si="3"/>
        <v>4.9196875395347082E-2</v>
      </c>
      <c r="K7" s="222">
        <f t="shared" si="4"/>
        <v>6.2734103196201499E-2</v>
      </c>
    </row>
    <row r="8" spans="1:12" x14ac:dyDescent="0.25">
      <c r="A8" s="35" t="s">
        <v>809</v>
      </c>
      <c r="B8" s="225">
        <f>'CE REV 1 - POST SEMESTRALE'!N95</f>
        <v>29166.666666666664</v>
      </c>
      <c r="C8" s="226"/>
      <c r="D8" s="227"/>
      <c r="E8" s="227"/>
      <c r="F8" s="227"/>
      <c r="G8" s="222">
        <f>B8/B2</f>
        <v>8.0132623181534655E-3</v>
      </c>
      <c r="H8" s="222">
        <f t="shared" si="5"/>
        <v>0</v>
      </c>
      <c r="I8" s="222">
        <f t="shared" si="2"/>
        <v>0</v>
      </c>
      <c r="J8" s="222">
        <f t="shared" si="3"/>
        <v>0</v>
      </c>
      <c r="K8" s="222">
        <f t="shared" si="4"/>
        <v>0</v>
      </c>
    </row>
    <row r="11" spans="1:12" hidden="1" x14ac:dyDescent="0.25">
      <c r="B11" t="s">
        <v>748</v>
      </c>
      <c r="C11" s="146">
        <v>50169.832572115389</v>
      </c>
      <c r="D11" s="146">
        <v>106624.75</v>
      </c>
      <c r="E11" s="146">
        <v>35116.874500000005</v>
      </c>
      <c r="F11" s="146">
        <v>36814.232125000002</v>
      </c>
    </row>
    <row r="12" spans="1:12" hidden="1" x14ac:dyDescent="0.25">
      <c r="B12" t="s">
        <v>856</v>
      </c>
      <c r="C12" s="146">
        <v>4852.3946682023598</v>
      </c>
      <c r="D12" s="146">
        <v>4118.55</v>
      </c>
      <c r="E12" s="146">
        <v>3086.15</v>
      </c>
      <c r="F12" s="146">
        <v>6142.55</v>
      </c>
    </row>
    <row r="13" spans="1:12" hidden="1" x14ac:dyDescent="0.25">
      <c r="B13" t="s">
        <v>857</v>
      </c>
      <c r="C13" s="146">
        <v>131165.00387269229</v>
      </c>
      <c r="D13" s="146">
        <v>142063.88</v>
      </c>
      <c r="E13" s="146">
        <v>145171.21484500001</v>
      </c>
      <c r="F13" s="146">
        <v>153566.5422</v>
      </c>
    </row>
    <row r="14" spans="1:12" hidden="1" x14ac:dyDescent="0.25">
      <c r="D14" s="146"/>
    </row>
    <row r="15" spans="1:12" hidden="1" x14ac:dyDescent="0.25">
      <c r="B15" t="s">
        <v>858</v>
      </c>
      <c r="C15" s="283">
        <f>C11+C12+C13</f>
        <v>186187.23111301003</v>
      </c>
      <c r="D15" s="283">
        <f>D11+D12+D13</f>
        <v>252807.18</v>
      </c>
      <c r="E15" s="283">
        <f>E11+E12+E13</f>
        <v>183374.23934500001</v>
      </c>
      <c r="F15" s="283">
        <f>F11+F12+F13</f>
        <v>196523.32432499999</v>
      </c>
    </row>
    <row r="18" spans="3:7" x14ac:dyDescent="0.25">
      <c r="C18" s="284" t="s">
        <v>868</v>
      </c>
      <c r="D18" s="286">
        <v>1460911.2736284104</v>
      </c>
      <c r="E18" s="286">
        <v>1502561.62</v>
      </c>
      <c r="F18" s="286">
        <v>1356915.5</v>
      </c>
    </row>
    <row r="19" spans="3:7" x14ac:dyDescent="0.25">
      <c r="C19" s="284" t="s">
        <v>866</v>
      </c>
      <c r="D19" s="286">
        <v>189430.63</v>
      </c>
      <c r="E19" s="286">
        <v>28531.02</v>
      </c>
      <c r="F19" s="286">
        <v>26639.34</v>
      </c>
    </row>
    <row r="20" spans="3:7" x14ac:dyDescent="0.25">
      <c r="C20" s="284" t="s">
        <v>51</v>
      </c>
      <c r="D20" s="286">
        <v>103526.8</v>
      </c>
      <c r="E20" s="286">
        <v>91775.08</v>
      </c>
      <c r="F20" s="286">
        <v>91775.08</v>
      </c>
    </row>
    <row r="21" spans="3:7" x14ac:dyDescent="0.25">
      <c r="C21" s="284" t="s">
        <v>865</v>
      </c>
      <c r="D21" s="286">
        <v>654129.89999999991</v>
      </c>
      <c r="E21" s="286">
        <v>70887.170000000013</v>
      </c>
      <c r="F21" s="286">
        <v>57400</v>
      </c>
    </row>
    <row r="22" spans="3:7" x14ac:dyDescent="0.25">
      <c r="C22" s="284" t="s">
        <v>864</v>
      </c>
      <c r="D22" s="286">
        <f>22298-D25</f>
        <v>17300</v>
      </c>
      <c r="E22" s="286"/>
      <c r="F22" s="286"/>
    </row>
    <row r="23" spans="3:7" x14ac:dyDescent="0.25">
      <c r="C23" s="284" t="s">
        <v>867</v>
      </c>
      <c r="D23" s="286">
        <v>64158.29</v>
      </c>
      <c r="E23" s="286">
        <v>50793.57</v>
      </c>
      <c r="F23" s="286">
        <v>44314.96</v>
      </c>
    </row>
    <row r="24" spans="3:7" x14ac:dyDescent="0.25">
      <c r="C24" t="s">
        <v>862</v>
      </c>
      <c r="D24" s="226">
        <f>316965.46-D23</f>
        <v>252807.17</v>
      </c>
      <c r="E24" s="226">
        <f>234167.81-E23</f>
        <v>183374.24</v>
      </c>
      <c r="F24" s="226">
        <f>240658.28-F23</f>
        <v>196343.32</v>
      </c>
    </row>
    <row r="25" spans="3:7" x14ac:dyDescent="0.25">
      <c r="C25" t="s">
        <v>860</v>
      </c>
      <c r="D25" s="226">
        <v>4998</v>
      </c>
      <c r="E25" s="226"/>
      <c r="F25" s="226"/>
    </row>
    <row r="26" spans="3:7" x14ac:dyDescent="0.25">
      <c r="C26" t="s">
        <v>859</v>
      </c>
      <c r="D26" s="226">
        <v>5319.72</v>
      </c>
      <c r="E26" s="226">
        <v>21693</v>
      </c>
      <c r="F26" s="226">
        <v>32472</v>
      </c>
    </row>
    <row r="27" spans="3:7" x14ac:dyDescent="0.25">
      <c r="C27" s="70" t="s">
        <v>861</v>
      </c>
      <c r="D27" s="226">
        <v>5812</v>
      </c>
      <c r="E27" s="226">
        <f>1690+687</f>
        <v>2377</v>
      </c>
      <c r="F27" s="226">
        <v>1690</v>
      </c>
    </row>
    <row r="28" spans="3:7" x14ac:dyDescent="0.25">
      <c r="C28" t="s">
        <v>869</v>
      </c>
      <c r="D28" s="226">
        <f>62979.49-D27</f>
        <v>57167.49</v>
      </c>
      <c r="E28" s="226">
        <f>64624.4-E27</f>
        <v>62247.4</v>
      </c>
      <c r="F28" s="226">
        <f>84836.55-F27</f>
        <v>83146.55</v>
      </c>
    </row>
    <row r="29" spans="3:7" x14ac:dyDescent="0.25">
      <c r="C29" t="s">
        <v>863</v>
      </c>
      <c r="D29" s="287">
        <f>16122.94+17526.66</f>
        <v>33649.599999999999</v>
      </c>
      <c r="E29" s="287">
        <v>15938.02</v>
      </c>
      <c r="F29" s="287">
        <f>760.52+2432.4</f>
        <v>3192.92</v>
      </c>
      <c r="G29" s="70"/>
    </row>
    <row r="30" spans="3:7" x14ac:dyDescent="0.25">
      <c r="D30" s="285">
        <f>SUM(D18:D29)</f>
        <v>2849210.8736284105</v>
      </c>
      <c r="E30" s="285">
        <f>SUM(E18:E29)</f>
        <v>2030178.12</v>
      </c>
      <c r="F30" s="285">
        <f>SUM(F18:F29)</f>
        <v>1893889.6700000002</v>
      </c>
    </row>
  </sheetData>
  <phoneticPr fontId="6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Budget2025</vt:lpstr>
      <vt:lpstr>SP 31.12.2024</vt:lpstr>
      <vt:lpstr>CE REV 1 - POST SEMESTRALE</vt:lpstr>
      <vt:lpstr>CE SEMESTRALE</vt:lpstr>
      <vt:lpstr>%Ricavi 2024_2023_2022</vt:lpstr>
      <vt:lpstr>Budget2025!Area_stampa</vt:lpstr>
      <vt:lpstr>'CE REV 1 - POST SEMESTRALE'!Area_stampa</vt:lpstr>
      <vt:lpstr>'CE SEMESTRALE'!Area_stampa</vt:lpstr>
      <vt:lpstr>'CE REV 1 - POST SEMESTRALE'!Titoli_stampa</vt:lpstr>
      <vt:lpstr>'CE SEMESTRALE'!Titoli_stampa</vt:lpstr>
    </vt:vector>
  </TitlesOfParts>
  <Company>Energie per la Citta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Morigi Silvia</dc:creator>
  <dc:description/>
  <cp:lastModifiedBy>Battistini Giovanni</cp:lastModifiedBy>
  <cp:revision>5</cp:revision>
  <cp:lastPrinted>2024-11-13T10:01:03Z</cp:lastPrinted>
  <dcterms:created xsi:type="dcterms:W3CDTF">2021-10-27T08:30:34Z</dcterms:created>
  <dcterms:modified xsi:type="dcterms:W3CDTF">2024-12-06T09:55:22Z</dcterms:modified>
  <dc:language>it-IT</dc:language>
</cp:coreProperties>
</file>